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defaultThemeVersion="124226"/>
  <workbookProtection workbookPassword="CC03" lockStructure="1"/>
  <bookViews>
    <workbookView xWindow="0" yWindow="420" windowWidth="15360" windowHeight="7875"/>
  </bookViews>
  <sheets>
    <sheet name="Revenue" sheetId="1" r:id="rId1"/>
    <sheet name="Amount To Be Raised" sheetId="2" r:id="rId2"/>
    <sheet name="Expenditures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Print_Area" localSheetId="0">Revenue!$A$1:$D$60</definedName>
  </definedNames>
  <calcPr calcId="145621"/>
</workbook>
</file>

<file path=xl/calcChain.xml><?xml version="1.0" encoding="utf-8"?>
<calcChain xmlns="http://schemas.openxmlformats.org/spreadsheetml/2006/main">
  <c r="D35" i="2" l="1"/>
  <c r="E35" i="1"/>
  <c r="E33" i="1"/>
  <c r="P10" i="5" l="1"/>
  <c r="O10" i="5"/>
  <c r="M11" i="5"/>
  <c r="N11" i="5"/>
  <c r="O11" i="5"/>
  <c r="P11" i="5"/>
  <c r="P143" i="5" l="1"/>
  <c r="P142" i="5"/>
  <c r="P141" i="5"/>
  <c r="O143" i="5"/>
  <c r="O142" i="5"/>
  <c r="O141" i="5"/>
  <c r="N143" i="5"/>
  <c r="M143" i="5"/>
  <c r="P126" i="5"/>
  <c r="O126" i="5"/>
  <c r="M126" i="5"/>
  <c r="N126" i="5"/>
  <c r="M161" i="5" l="1"/>
  <c r="N161" i="5"/>
  <c r="O161" i="5"/>
  <c r="P161" i="5"/>
  <c r="P160" i="5"/>
  <c r="O160" i="5"/>
  <c r="N160" i="5"/>
  <c r="M160" i="5"/>
  <c r="P159" i="5"/>
  <c r="O159" i="5"/>
  <c r="N159" i="5"/>
  <c r="M159" i="5"/>
  <c r="M252" i="5"/>
  <c r="N252" i="5"/>
  <c r="O252" i="5"/>
  <c r="P252" i="5"/>
  <c r="O251" i="5"/>
  <c r="N251" i="5"/>
  <c r="M251" i="5"/>
  <c r="M250" i="5"/>
  <c r="N250" i="5"/>
  <c r="O250" i="5"/>
  <c r="P250" i="5"/>
  <c r="P251" i="5"/>
  <c r="N68" i="5" l="1"/>
  <c r="Q368" i="5"/>
  <c r="J368" i="5"/>
  <c r="I368" i="5"/>
  <c r="F368" i="5"/>
  <c r="E368" i="5"/>
  <c r="D368" i="5"/>
  <c r="C368" i="5"/>
  <c r="P367" i="5"/>
  <c r="O367" i="5"/>
  <c r="N367" i="5"/>
  <c r="M367" i="5"/>
  <c r="L367" i="5"/>
  <c r="G367" i="5"/>
  <c r="P366" i="5"/>
  <c r="O366" i="5"/>
  <c r="N366" i="5"/>
  <c r="M366" i="5"/>
  <c r="L366" i="5"/>
  <c r="P365" i="5"/>
  <c r="O365" i="5"/>
  <c r="N365" i="5"/>
  <c r="M365" i="5"/>
  <c r="L365" i="5"/>
  <c r="P364" i="5"/>
  <c r="O364" i="5"/>
  <c r="N364" i="5"/>
  <c r="M364" i="5"/>
  <c r="L364" i="5"/>
  <c r="K364" i="5"/>
  <c r="G364" i="5"/>
  <c r="G368" i="5" s="1"/>
  <c r="C364" i="5"/>
  <c r="P363" i="5"/>
  <c r="O363" i="5"/>
  <c r="N363" i="5"/>
  <c r="M363" i="5"/>
  <c r="L363" i="5"/>
  <c r="K363" i="5"/>
  <c r="K368" i="5" s="1"/>
  <c r="H363" i="5"/>
  <c r="K356" i="5"/>
  <c r="J356" i="5"/>
  <c r="G356" i="5"/>
  <c r="C356" i="5"/>
  <c r="Q354" i="5"/>
  <c r="Q356" i="5" s="1"/>
  <c r="K354" i="5"/>
  <c r="J354" i="5"/>
  <c r="I354" i="5"/>
  <c r="I356" i="5" s="1"/>
  <c r="H354" i="5"/>
  <c r="H356" i="5" s="1"/>
  <c r="G354" i="5"/>
  <c r="F354" i="5"/>
  <c r="F356" i="5" s="1"/>
  <c r="E354" i="5"/>
  <c r="E356" i="5" s="1"/>
  <c r="D354" i="5"/>
  <c r="D356" i="5" s="1"/>
  <c r="P353" i="5"/>
  <c r="P354" i="5" s="1"/>
  <c r="O353" i="5"/>
  <c r="O354" i="5" s="1"/>
  <c r="N353" i="5"/>
  <c r="N354" i="5" s="1"/>
  <c r="N356" i="5" s="1"/>
  <c r="M353" i="5"/>
  <c r="M354" i="5" s="1"/>
  <c r="M356" i="5" s="1"/>
  <c r="L353" i="5"/>
  <c r="L354" i="5" s="1"/>
  <c r="L356" i="5" s="1"/>
  <c r="J348" i="5"/>
  <c r="H348" i="5"/>
  <c r="E348" i="5"/>
  <c r="D348" i="5"/>
  <c r="Q346" i="5"/>
  <c r="Q348" i="5" s="1"/>
  <c r="K346" i="5"/>
  <c r="K348" i="5" s="1"/>
  <c r="J346" i="5"/>
  <c r="H346" i="5"/>
  <c r="F346" i="5"/>
  <c r="F348" i="5" s="1"/>
  <c r="E346" i="5"/>
  <c r="D346" i="5"/>
  <c r="M345" i="5"/>
  <c r="L345" i="5"/>
  <c r="M344" i="5"/>
  <c r="L344" i="5"/>
  <c r="M343" i="5"/>
  <c r="L343" i="5"/>
  <c r="M342" i="5"/>
  <c r="L342" i="5"/>
  <c r="M341" i="5"/>
  <c r="L341" i="5"/>
  <c r="G341" i="5"/>
  <c r="M340" i="5"/>
  <c r="L340" i="5"/>
  <c r="G340" i="5"/>
  <c r="M339" i="5"/>
  <c r="L339" i="5"/>
  <c r="M338" i="5"/>
  <c r="L338" i="5"/>
  <c r="G338" i="5"/>
  <c r="M337" i="5"/>
  <c r="L337" i="5"/>
  <c r="W336" i="5"/>
  <c r="R336" i="5"/>
  <c r="I336" i="5"/>
  <c r="I346" i="5" s="1"/>
  <c r="I348" i="5" s="1"/>
  <c r="M335" i="5"/>
  <c r="L335" i="5"/>
  <c r="K331" i="5"/>
  <c r="H331" i="5"/>
  <c r="G331" i="5"/>
  <c r="D331" i="5"/>
  <c r="C331" i="5"/>
  <c r="C346" i="5" s="1"/>
  <c r="C348" i="5" s="1"/>
  <c r="Q329" i="5"/>
  <c r="Q331" i="5" s="1"/>
  <c r="K329" i="5"/>
  <c r="J329" i="5"/>
  <c r="J331" i="5" s="1"/>
  <c r="I329" i="5"/>
  <c r="I331" i="5" s="1"/>
  <c r="H329" i="5"/>
  <c r="G329" i="5"/>
  <c r="F329" i="5"/>
  <c r="F331" i="5" s="1"/>
  <c r="E329" i="5"/>
  <c r="E331" i="5" s="1"/>
  <c r="D329" i="5"/>
  <c r="C329" i="5"/>
  <c r="P328" i="5"/>
  <c r="O328" i="5"/>
  <c r="N328" i="5"/>
  <c r="M328" i="5"/>
  <c r="L328" i="5"/>
  <c r="P327" i="5"/>
  <c r="O327" i="5"/>
  <c r="N327" i="5"/>
  <c r="M327" i="5"/>
  <c r="L327" i="5"/>
  <c r="P326" i="5"/>
  <c r="O326" i="5"/>
  <c r="N326" i="5"/>
  <c r="M326" i="5"/>
  <c r="L326" i="5"/>
  <c r="Q321" i="5"/>
  <c r="Q323" i="5" s="1"/>
  <c r="K321" i="5"/>
  <c r="J321" i="5"/>
  <c r="J323" i="5" s="1"/>
  <c r="I321" i="5"/>
  <c r="H321" i="5"/>
  <c r="G321" i="5"/>
  <c r="F321" i="5"/>
  <c r="E321" i="5"/>
  <c r="E323" i="5" s="1"/>
  <c r="D321" i="5"/>
  <c r="P320" i="5"/>
  <c r="P321" i="5" s="1"/>
  <c r="O320" i="5"/>
  <c r="O321" i="5" s="1"/>
  <c r="N320" i="5"/>
  <c r="N321" i="5" s="1"/>
  <c r="M320" i="5"/>
  <c r="M321" i="5" s="1"/>
  <c r="L320" i="5"/>
  <c r="L321" i="5" s="1"/>
  <c r="Q317" i="5"/>
  <c r="K317" i="5"/>
  <c r="J317" i="5"/>
  <c r="I317" i="5"/>
  <c r="H317" i="5"/>
  <c r="G317" i="5"/>
  <c r="F317" i="5"/>
  <c r="F323" i="5" s="1"/>
  <c r="E317" i="5"/>
  <c r="D317" i="5"/>
  <c r="D323" i="5" s="1"/>
  <c r="C317" i="5"/>
  <c r="P316" i="5"/>
  <c r="O316" i="5"/>
  <c r="N316" i="5"/>
  <c r="M316" i="5"/>
  <c r="L316" i="5"/>
  <c r="P315" i="5"/>
  <c r="O315" i="5"/>
  <c r="N315" i="5"/>
  <c r="M315" i="5"/>
  <c r="L315" i="5"/>
  <c r="Q312" i="5"/>
  <c r="K312" i="5"/>
  <c r="J312" i="5"/>
  <c r="I312" i="5"/>
  <c r="H312" i="5"/>
  <c r="G312" i="5"/>
  <c r="F312" i="5"/>
  <c r="E312" i="5"/>
  <c r="D312" i="5"/>
  <c r="C312" i="5"/>
  <c r="P311" i="5"/>
  <c r="O311" i="5"/>
  <c r="N311" i="5"/>
  <c r="M311" i="5"/>
  <c r="L311" i="5"/>
  <c r="P310" i="5"/>
  <c r="O310" i="5"/>
  <c r="N310" i="5"/>
  <c r="M310" i="5"/>
  <c r="L310" i="5"/>
  <c r="C310" i="5"/>
  <c r="P309" i="5"/>
  <c r="O309" i="5"/>
  <c r="N309" i="5"/>
  <c r="M309" i="5"/>
  <c r="L309" i="5"/>
  <c r="Q306" i="5"/>
  <c r="K306" i="5"/>
  <c r="J306" i="5"/>
  <c r="I306" i="5"/>
  <c r="G306" i="5"/>
  <c r="F306" i="5"/>
  <c r="E306" i="5"/>
  <c r="D306" i="5"/>
  <c r="P305" i="5"/>
  <c r="O305" i="5"/>
  <c r="N305" i="5"/>
  <c r="M305" i="5"/>
  <c r="L305" i="5"/>
  <c r="P304" i="5"/>
  <c r="O304" i="5"/>
  <c r="N304" i="5"/>
  <c r="M304" i="5"/>
  <c r="L304" i="5"/>
  <c r="H304" i="5"/>
  <c r="H306" i="5" s="1"/>
  <c r="C304" i="5"/>
  <c r="C306" i="5" s="1"/>
  <c r="P303" i="5"/>
  <c r="O303" i="5"/>
  <c r="N303" i="5"/>
  <c r="M303" i="5"/>
  <c r="L303" i="5"/>
  <c r="Q300" i="5"/>
  <c r="K300" i="5"/>
  <c r="J300" i="5"/>
  <c r="I300" i="5"/>
  <c r="G300" i="5"/>
  <c r="F300" i="5"/>
  <c r="E300" i="5"/>
  <c r="D300" i="5"/>
  <c r="P299" i="5"/>
  <c r="O299" i="5"/>
  <c r="N299" i="5"/>
  <c r="M299" i="5"/>
  <c r="L299" i="5"/>
  <c r="P298" i="5"/>
  <c r="O298" i="5"/>
  <c r="N298" i="5"/>
  <c r="M298" i="5"/>
  <c r="L298" i="5"/>
  <c r="K298" i="5"/>
  <c r="G298" i="5"/>
  <c r="C298" i="5"/>
  <c r="P297" i="5"/>
  <c r="O297" i="5"/>
  <c r="N297" i="5"/>
  <c r="M297" i="5"/>
  <c r="L297" i="5"/>
  <c r="K297" i="5"/>
  <c r="H297" i="5"/>
  <c r="C292" i="5"/>
  <c r="Q290" i="5"/>
  <c r="K290" i="5"/>
  <c r="J290" i="5"/>
  <c r="G290" i="5"/>
  <c r="F290" i="5"/>
  <c r="E290" i="5"/>
  <c r="D290" i="5"/>
  <c r="C290" i="5"/>
  <c r="P289" i="5"/>
  <c r="O289" i="5"/>
  <c r="N289" i="5"/>
  <c r="M289" i="5"/>
  <c r="L289" i="5"/>
  <c r="P288" i="5"/>
  <c r="O288" i="5"/>
  <c r="N288" i="5"/>
  <c r="M288" i="5"/>
  <c r="L288" i="5"/>
  <c r="Q285" i="5"/>
  <c r="J285" i="5"/>
  <c r="I285" i="5"/>
  <c r="H285" i="5"/>
  <c r="F285" i="5"/>
  <c r="E285" i="5"/>
  <c r="D285" i="5"/>
  <c r="P284" i="5"/>
  <c r="O284" i="5"/>
  <c r="N284" i="5"/>
  <c r="M284" i="5"/>
  <c r="L284" i="5"/>
  <c r="K284" i="5"/>
  <c r="K285" i="5" s="1"/>
  <c r="G284" i="5"/>
  <c r="G285" i="5" s="1"/>
  <c r="P283" i="5"/>
  <c r="O283" i="5"/>
  <c r="N283" i="5"/>
  <c r="M283" i="5"/>
  <c r="L283" i="5"/>
  <c r="P282" i="5"/>
  <c r="O282" i="5"/>
  <c r="N282" i="5"/>
  <c r="M282" i="5"/>
  <c r="L282" i="5"/>
  <c r="Q279" i="5"/>
  <c r="J279" i="5"/>
  <c r="I279" i="5"/>
  <c r="H279" i="5"/>
  <c r="F279" i="5"/>
  <c r="E279" i="5"/>
  <c r="D279" i="5"/>
  <c r="P278" i="5"/>
  <c r="O278" i="5"/>
  <c r="N278" i="5"/>
  <c r="M278" i="5"/>
  <c r="L278" i="5"/>
  <c r="P277" i="5"/>
  <c r="O277" i="5"/>
  <c r="N277" i="5"/>
  <c r="M277" i="5"/>
  <c r="L277" i="5"/>
  <c r="K277" i="5"/>
  <c r="H277" i="5"/>
  <c r="G277" i="5"/>
  <c r="G279" i="5" s="1"/>
  <c r="C277" i="5"/>
  <c r="P276" i="5"/>
  <c r="O276" i="5"/>
  <c r="N276" i="5"/>
  <c r="M276" i="5"/>
  <c r="L276" i="5"/>
  <c r="K276" i="5"/>
  <c r="K279" i="5" s="1"/>
  <c r="H276" i="5"/>
  <c r="Q273" i="5"/>
  <c r="P273" i="5"/>
  <c r="O273" i="5"/>
  <c r="N273" i="5"/>
  <c r="M273" i="5"/>
  <c r="L273" i="5"/>
  <c r="K273" i="5"/>
  <c r="J273" i="5"/>
  <c r="I273" i="5"/>
  <c r="H273" i="5"/>
  <c r="F273" i="5"/>
  <c r="E273" i="5"/>
  <c r="D273" i="5"/>
  <c r="G271" i="5"/>
  <c r="G273" i="5" s="1"/>
  <c r="Q268" i="5"/>
  <c r="K268" i="5"/>
  <c r="J268" i="5"/>
  <c r="I268" i="5"/>
  <c r="F268" i="5"/>
  <c r="E268" i="5"/>
  <c r="E292" i="5" s="1"/>
  <c r="D268" i="5"/>
  <c r="P267" i="5"/>
  <c r="O267" i="5"/>
  <c r="N267" i="5"/>
  <c r="M267" i="5"/>
  <c r="L267" i="5"/>
  <c r="P266" i="5"/>
  <c r="O266" i="5"/>
  <c r="N266" i="5"/>
  <c r="M266" i="5"/>
  <c r="L266" i="5"/>
  <c r="K266" i="5"/>
  <c r="G266" i="5"/>
  <c r="G268" i="5" s="1"/>
  <c r="G292" i="5" s="1"/>
  <c r="C266" i="5"/>
  <c r="P265" i="5"/>
  <c r="O265" i="5"/>
  <c r="N265" i="5"/>
  <c r="M265" i="5"/>
  <c r="L265" i="5"/>
  <c r="K265" i="5"/>
  <c r="H265" i="5"/>
  <c r="Q258" i="5"/>
  <c r="J258" i="5"/>
  <c r="I258" i="5"/>
  <c r="H258" i="5"/>
  <c r="F258" i="5"/>
  <c r="E258" i="5"/>
  <c r="D258" i="5"/>
  <c r="C258" i="5"/>
  <c r="P257" i="5"/>
  <c r="O257" i="5"/>
  <c r="N257" i="5"/>
  <c r="M257" i="5"/>
  <c r="L257" i="5"/>
  <c r="P256" i="5"/>
  <c r="O256" i="5"/>
  <c r="N256" i="5"/>
  <c r="M256" i="5"/>
  <c r="L256" i="5"/>
  <c r="K256" i="5"/>
  <c r="K258" i="5" s="1"/>
  <c r="G256" i="5"/>
  <c r="G258" i="5" s="1"/>
  <c r="Q253" i="5"/>
  <c r="P253" i="5"/>
  <c r="O253" i="5"/>
  <c r="J253" i="5"/>
  <c r="F253" i="5"/>
  <c r="E253" i="5"/>
  <c r="D253" i="5"/>
  <c r="L252" i="5"/>
  <c r="I252" i="5"/>
  <c r="L251" i="5"/>
  <c r="K251" i="5"/>
  <c r="I251" i="5"/>
  <c r="G251" i="5"/>
  <c r="G253" i="5" s="1"/>
  <c r="C251" i="5"/>
  <c r="N253" i="5"/>
  <c r="M253" i="5"/>
  <c r="L250" i="5"/>
  <c r="K250" i="5"/>
  <c r="K253" i="5" s="1"/>
  <c r="I250" i="5"/>
  <c r="I253" i="5" s="1"/>
  <c r="H250" i="5"/>
  <c r="Q247" i="5"/>
  <c r="J247" i="5"/>
  <c r="I247" i="5"/>
  <c r="G247" i="5"/>
  <c r="F247" i="5"/>
  <c r="E247" i="5"/>
  <c r="D247" i="5"/>
  <c r="P246" i="5"/>
  <c r="O246" i="5"/>
  <c r="N246" i="5"/>
  <c r="M246" i="5"/>
  <c r="L246" i="5"/>
  <c r="P245" i="5"/>
  <c r="O245" i="5"/>
  <c r="N245" i="5"/>
  <c r="M245" i="5"/>
  <c r="L245" i="5"/>
  <c r="K245" i="5"/>
  <c r="K247" i="5" s="1"/>
  <c r="G245" i="5"/>
  <c r="P244" i="5"/>
  <c r="O244" i="5"/>
  <c r="N244" i="5"/>
  <c r="M244" i="5"/>
  <c r="L244" i="5"/>
  <c r="H244" i="5"/>
  <c r="Q241" i="5"/>
  <c r="K241" i="5"/>
  <c r="J241" i="5"/>
  <c r="I241" i="5"/>
  <c r="F241" i="5"/>
  <c r="E241" i="5"/>
  <c r="D241" i="5"/>
  <c r="P240" i="5"/>
  <c r="O240" i="5"/>
  <c r="N240" i="5"/>
  <c r="M240" i="5"/>
  <c r="L240" i="5"/>
  <c r="P239" i="5"/>
  <c r="O239" i="5"/>
  <c r="N239" i="5"/>
  <c r="M239" i="5"/>
  <c r="L239" i="5"/>
  <c r="K239" i="5"/>
  <c r="H239" i="5"/>
  <c r="H241" i="5" s="1"/>
  <c r="G239" i="5"/>
  <c r="G241" i="5" s="1"/>
  <c r="C239" i="5"/>
  <c r="P238" i="5"/>
  <c r="O238" i="5"/>
  <c r="N238" i="5"/>
  <c r="M238" i="5"/>
  <c r="L238" i="5"/>
  <c r="Q235" i="5"/>
  <c r="J235" i="5"/>
  <c r="I235" i="5"/>
  <c r="H235" i="5"/>
  <c r="F235" i="5"/>
  <c r="E235" i="5"/>
  <c r="D235" i="5"/>
  <c r="C235" i="5"/>
  <c r="P234" i="5"/>
  <c r="O234" i="5"/>
  <c r="N234" i="5"/>
  <c r="M234" i="5"/>
  <c r="L234" i="5"/>
  <c r="P233" i="5"/>
  <c r="O233" i="5"/>
  <c r="N233" i="5"/>
  <c r="M233" i="5"/>
  <c r="L233" i="5"/>
  <c r="K233" i="5"/>
  <c r="K235" i="5" s="1"/>
  <c r="G233" i="5"/>
  <c r="G235" i="5" s="1"/>
  <c r="Q230" i="5"/>
  <c r="K230" i="5"/>
  <c r="J230" i="5"/>
  <c r="I230" i="5"/>
  <c r="G230" i="5"/>
  <c r="F230" i="5"/>
  <c r="E230" i="5"/>
  <c r="D230" i="5"/>
  <c r="C230" i="5"/>
  <c r="P229" i="5"/>
  <c r="O229" i="5"/>
  <c r="N229" i="5"/>
  <c r="M229" i="5"/>
  <c r="L229" i="5"/>
  <c r="P228" i="5"/>
  <c r="O228" i="5"/>
  <c r="N228" i="5"/>
  <c r="M228" i="5"/>
  <c r="L228" i="5"/>
  <c r="K228" i="5"/>
  <c r="H228" i="5"/>
  <c r="H230" i="5" s="1"/>
  <c r="G228" i="5"/>
  <c r="P227" i="5"/>
  <c r="O227" i="5"/>
  <c r="N227" i="5"/>
  <c r="M227" i="5"/>
  <c r="L227" i="5"/>
  <c r="Q224" i="5"/>
  <c r="J224" i="5"/>
  <c r="I224" i="5"/>
  <c r="H224" i="5"/>
  <c r="G224" i="5"/>
  <c r="F224" i="5"/>
  <c r="E224" i="5"/>
  <c r="D224" i="5"/>
  <c r="C224" i="5"/>
  <c r="P223" i="5"/>
  <c r="O223" i="5"/>
  <c r="N223" i="5"/>
  <c r="M223" i="5"/>
  <c r="L223" i="5"/>
  <c r="K223" i="5"/>
  <c r="P222" i="5"/>
  <c r="O222" i="5"/>
  <c r="N222" i="5"/>
  <c r="M222" i="5"/>
  <c r="L222" i="5"/>
  <c r="K222" i="5"/>
  <c r="K224" i="5" s="1"/>
  <c r="H222" i="5"/>
  <c r="Q219" i="5"/>
  <c r="J219" i="5"/>
  <c r="I219" i="5"/>
  <c r="G219" i="5"/>
  <c r="F219" i="5"/>
  <c r="E219" i="5"/>
  <c r="D219" i="5"/>
  <c r="P218" i="5"/>
  <c r="O218" i="5"/>
  <c r="N218" i="5"/>
  <c r="M218" i="5"/>
  <c r="L218" i="5"/>
  <c r="P217" i="5"/>
  <c r="O217" i="5"/>
  <c r="N217" i="5"/>
  <c r="M217" i="5"/>
  <c r="L217" i="5"/>
  <c r="K217" i="5"/>
  <c r="C217" i="5"/>
  <c r="P216" i="5"/>
  <c r="O216" i="5"/>
  <c r="N216" i="5"/>
  <c r="M216" i="5"/>
  <c r="L216" i="5"/>
  <c r="K216" i="5"/>
  <c r="K219" i="5" s="1"/>
  <c r="H216" i="5"/>
  <c r="Q213" i="5"/>
  <c r="Q260" i="5" s="1"/>
  <c r="K213" i="5"/>
  <c r="J213" i="5"/>
  <c r="J260" i="5" s="1"/>
  <c r="I213" i="5"/>
  <c r="F213" i="5"/>
  <c r="E213" i="5"/>
  <c r="D213" i="5"/>
  <c r="C213" i="5"/>
  <c r="P212" i="5"/>
  <c r="O212" i="5"/>
  <c r="N212" i="5"/>
  <c r="M212" i="5"/>
  <c r="L212" i="5"/>
  <c r="P211" i="5"/>
  <c r="O211" i="5"/>
  <c r="N211" i="5"/>
  <c r="M211" i="5"/>
  <c r="L211" i="5"/>
  <c r="K211" i="5"/>
  <c r="G211" i="5"/>
  <c r="G213" i="5" s="1"/>
  <c r="C211" i="5"/>
  <c r="P210" i="5"/>
  <c r="O210" i="5"/>
  <c r="N210" i="5"/>
  <c r="M210" i="5"/>
  <c r="L210" i="5"/>
  <c r="H210" i="5"/>
  <c r="F205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E205" i="5" s="1"/>
  <c r="C203" i="5"/>
  <c r="D202" i="5"/>
  <c r="D203" i="5" s="1"/>
  <c r="D205" i="5" s="1"/>
  <c r="Q194" i="5"/>
  <c r="P194" i="5"/>
  <c r="O194" i="5"/>
  <c r="N194" i="5"/>
  <c r="R194" i="5" s="1"/>
  <c r="S194" i="5" s="1"/>
  <c r="M194" i="5"/>
  <c r="L194" i="5"/>
  <c r="K194" i="5"/>
  <c r="K205" i="5" s="1"/>
  <c r="J194" i="5"/>
  <c r="J205" i="5" s="1"/>
  <c r="F194" i="5"/>
  <c r="E194" i="5"/>
  <c r="D194" i="5"/>
  <c r="C194" i="5"/>
  <c r="C205" i="5" s="1"/>
  <c r="I190" i="5"/>
  <c r="H190" i="5"/>
  <c r="G190" i="5"/>
  <c r="I189" i="5"/>
  <c r="I187" i="5"/>
  <c r="G187" i="5"/>
  <c r="K185" i="5"/>
  <c r="I185" i="5"/>
  <c r="H185" i="5"/>
  <c r="G185" i="5"/>
  <c r="K184" i="5"/>
  <c r="I184" i="5"/>
  <c r="H184" i="5"/>
  <c r="G184" i="5"/>
  <c r="K183" i="5"/>
  <c r="I183" i="5"/>
  <c r="H183" i="5"/>
  <c r="G183" i="5"/>
  <c r="G194" i="5" s="1"/>
  <c r="K182" i="5"/>
  <c r="I182" i="5"/>
  <c r="H182" i="5"/>
  <c r="H194" i="5" s="1"/>
  <c r="Q174" i="5"/>
  <c r="J174" i="5"/>
  <c r="I174" i="5"/>
  <c r="F174" i="5"/>
  <c r="E174" i="5"/>
  <c r="D174" i="5"/>
  <c r="P173" i="5"/>
  <c r="O173" i="5"/>
  <c r="N173" i="5"/>
  <c r="M173" i="5"/>
  <c r="L173" i="5"/>
  <c r="P172" i="5"/>
  <c r="O172" i="5"/>
  <c r="N172" i="5"/>
  <c r="M172" i="5"/>
  <c r="L172" i="5"/>
  <c r="K172" i="5"/>
  <c r="K174" i="5" s="1"/>
  <c r="H172" i="5"/>
  <c r="H174" i="5" s="1"/>
  <c r="G172" i="5"/>
  <c r="G174" i="5" s="1"/>
  <c r="C172" i="5"/>
  <c r="P171" i="5"/>
  <c r="O171" i="5"/>
  <c r="N171" i="5"/>
  <c r="M171" i="5"/>
  <c r="L171" i="5"/>
  <c r="Q168" i="5"/>
  <c r="K168" i="5"/>
  <c r="J168" i="5"/>
  <c r="I168" i="5"/>
  <c r="H168" i="5"/>
  <c r="G168" i="5"/>
  <c r="F168" i="5"/>
  <c r="E168" i="5"/>
  <c r="D168" i="5"/>
  <c r="P167" i="5"/>
  <c r="O167" i="5"/>
  <c r="N167" i="5"/>
  <c r="M167" i="5"/>
  <c r="L167" i="5"/>
  <c r="P166" i="5"/>
  <c r="O166" i="5"/>
  <c r="N166" i="5"/>
  <c r="M166" i="5"/>
  <c r="L166" i="5"/>
  <c r="P165" i="5"/>
  <c r="O165" i="5"/>
  <c r="N165" i="5"/>
  <c r="M165" i="5"/>
  <c r="L165" i="5"/>
  <c r="Q162" i="5"/>
  <c r="M162" i="5"/>
  <c r="J162" i="5"/>
  <c r="I162" i="5"/>
  <c r="F162" i="5"/>
  <c r="E162" i="5"/>
  <c r="D162" i="5"/>
  <c r="L161" i="5"/>
  <c r="L162" i="5" s="1"/>
  <c r="L160" i="5"/>
  <c r="K160" i="5"/>
  <c r="K162" i="5" s="1"/>
  <c r="H160" i="5"/>
  <c r="H162" i="5" s="1"/>
  <c r="G160" i="5"/>
  <c r="G162" i="5" s="1"/>
  <c r="C160" i="5"/>
  <c r="P162" i="5"/>
  <c r="O162" i="5"/>
  <c r="N162" i="5"/>
  <c r="L159" i="5"/>
  <c r="Q156" i="5"/>
  <c r="J156" i="5"/>
  <c r="I156" i="5"/>
  <c r="G156" i="5"/>
  <c r="F156" i="5"/>
  <c r="E156" i="5"/>
  <c r="D156" i="5"/>
  <c r="C156" i="5"/>
  <c r="P155" i="5"/>
  <c r="O155" i="5"/>
  <c r="N155" i="5"/>
  <c r="N156" i="5" s="1"/>
  <c r="M155" i="5"/>
  <c r="M156" i="5" s="1"/>
  <c r="L155" i="5"/>
  <c r="P154" i="5"/>
  <c r="O154" i="5"/>
  <c r="L154" i="5"/>
  <c r="P153" i="5"/>
  <c r="O153" i="5"/>
  <c r="L153" i="5"/>
  <c r="K153" i="5"/>
  <c r="K156" i="5" s="1"/>
  <c r="H153" i="5"/>
  <c r="H156" i="5" s="1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Q144" i="5"/>
  <c r="J144" i="5"/>
  <c r="I144" i="5"/>
  <c r="H144" i="5"/>
  <c r="G144" i="5"/>
  <c r="F144" i="5"/>
  <c r="E144" i="5"/>
  <c r="D144" i="5"/>
  <c r="C144" i="5"/>
  <c r="L143" i="5"/>
  <c r="L142" i="5"/>
  <c r="P144" i="5"/>
  <c r="O144" i="5"/>
  <c r="N144" i="5"/>
  <c r="L141" i="5"/>
  <c r="L144" i="5" s="1"/>
  <c r="K141" i="5"/>
  <c r="K144" i="5" s="1"/>
  <c r="H141" i="5"/>
  <c r="Q138" i="5"/>
  <c r="K138" i="5"/>
  <c r="J138" i="5"/>
  <c r="I138" i="5"/>
  <c r="F138" i="5"/>
  <c r="E138" i="5"/>
  <c r="D138" i="5"/>
  <c r="C138" i="5"/>
  <c r="P137" i="5"/>
  <c r="O137" i="5"/>
  <c r="N137" i="5"/>
  <c r="M137" i="5"/>
  <c r="L137" i="5"/>
  <c r="P136" i="5"/>
  <c r="O136" i="5"/>
  <c r="N136" i="5"/>
  <c r="M136" i="5"/>
  <c r="L136" i="5"/>
  <c r="K136" i="5"/>
  <c r="G136" i="5"/>
  <c r="G138" i="5" s="1"/>
  <c r="C136" i="5"/>
  <c r="P135" i="5"/>
  <c r="O135" i="5"/>
  <c r="N135" i="5"/>
  <c r="M135" i="5"/>
  <c r="L135" i="5"/>
  <c r="H135" i="5"/>
  <c r="Q132" i="5"/>
  <c r="K132" i="5"/>
  <c r="J132" i="5"/>
  <c r="I132" i="5"/>
  <c r="H132" i="5"/>
  <c r="G132" i="5"/>
  <c r="F132" i="5"/>
  <c r="E132" i="5"/>
  <c r="D132" i="5"/>
  <c r="C132" i="5"/>
  <c r="P131" i="5"/>
  <c r="O131" i="5"/>
  <c r="N131" i="5"/>
  <c r="M131" i="5"/>
  <c r="L131" i="5"/>
  <c r="P130" i="5"/>
  <c r="O130" i="5"/>
  <c r="N130" i="5"/>
  <c r="M130" i="5"/>
  <c r="L130" i="5"/>
  <c r="Q127" i="5"/>
  <c r="J127" i="5"/>
  <c r="I127" i="5"/>
  <c r="F127" i="5"/>
  <c r="E127" i="5"/>
  <c r="D127" i="5"/>
  <c r="C127" i="5"/>
  <c r="L126" i="5"/>
  <c r="K126" i="5"/>
  <c r="P125" i="5"/>
  <c r="O125" i="5"/>
  <c r="N125" i="5"/>
  <c r="M125" i="5"/>
  <c r="L125" i="5"/>
  <c r="K125" i="5"/>
  <c r="P124" i="5"/>
  <c r="O124" i="5"/>
  <c r="N124" i="5"/>
  <c r="M124" i="5"/>
  <c r="L124" i="5"/>
  <c r="K124" i="5"/>
  <c r="H124" i="5"/>
  <c r="H127" i="5" s="1"/>
  <c r="G124" i="5"/>
  <c r="G127" i="5" s="1"/>
  <c r="C124" i="5"/>
  <c r="P123" i="5"/>
  <c r="O123" i="5"/>
  <c r="N123" i="5"/>
  <c r="M123" i="5"/>
  <c r="L123" i="5"/>
  <c r="K123" i="5"/>
  <c r="K127" i="5" s="1"/>
  <c r="H123" i="5"/>
  <c r="Q120" i="5"/>
  <c r="J120" i="5"/>
  <c r="I120" i="5"/>
  <c r="G120" i="5"/>
  <c r="F120" i="5"/>
  <c r="E120" i="5"/>
  <c r="D120" i="5"/>
  <c r="P119" i="5"/>
  <c r="O119" i="5"/>
  <c r="N119" i="5"/>
  <c r="M119" i="5"/>
  <c r="L119" i="5"/>
  <c r="P118" i="5"/>
  <c r="O118" i="5"/>
  <c r="N118" i="5"/>
  <c r="M118" i="5"/>
  <c r="L118" i="5"/>
  <c r="K118" i="5"/>
  <c r="G118" i="5"/>
  <c r="C118" i="5"/>
  <c r="P117" i="5"/>
  <c r="O117" i="5"/>
  <c r="N117" i="5"/>
  <c r="M117" i="5"/>
  <c r="L117" i="5"/>
  <c r="K117" i="5"/>
  <c r="K120" i="5" s="1"/>
  <c r="H117" i="5"/>
  <c r="Q110" i="5"/>
  <c r="K110" i="5"/>
  <c r="J110" i="5"/>
  <c r="I110" i="5"/>
  <c r="H110" i="5"/>
  <c r="G110" i="5"/>
  <c r="F110" i="5"/>
  <c r="E110" i="5"/>
  <c r="D110" i="5"/>
  <c r="P109" i="5"/>
  <c r="O109" i="5"/>
  <c r="N109" i="5"/>
  <c r="M109" i="5"/>
  <c r="L109" i="5"/>
  <c r="P108" i="5"/>
  <c r="O108" i="5"/>
  <c r="N108" i="5"/>
  <c r="M108" i="5"/>
  <c r="L108" i="5"/>
  <c r="Q105" i="5"/>
  <c r="J105" i="5"/>
  <c r="I105" i="5"/>
  <c r="H105" i="5"/>
  <c r="F105" i="5"/>
  <c r="E105" i="5"/>
  <c r="D105" i="5"/>
  <c r="P104" i="5"/>
  <c r="O104" i="5"/>
  <c r="N104" i="5"/>
  <c r="M104" i="5"/>
  <c r="L104" i="5"/>
  <c r="P103" i="5"/>
  <c r="O103" i="5"/>
  <c r="N103" i="5"/>
  <c r="M103" i="5"/>
  <c r="L103" i="5"/>
  <c r="K103" i="5"/>
  <c r="H103" i="5"/>
  <c r="G103" i="5"/>
  <c r="G105" i="5" s="1"/>
  <c r="C103" i="5"/>
  <c r="P102" i="5"/>
  <c r="O102" i="5"/>
  <c r="N102" i="5"/>
  <c r="M102" i="5"/>
  <c r="L102" i="5"/>
  <c r="K102" i="5"/>
  <c r="K105" i="5" s="1"/>
  <c r="H102" i="5"/>
  <c r="Q99" i="5"/>
  <c r="P99" i="5"/>
  <c r="O99" i="5"/>
  <c r="R99" i="5" s="1"/>
  <c r="N99" i="5"/>
  <c r="M99" i="5"/>
  <c r="L99" i="5"/>
  <c r="K99" i="5"/>
  <c r="J99" i="5"/>
  <c r="I99" i="5"/>
  <c r="H99" i="5"/>
  <c r="G99" i="5"/>
  <c r="F99" i="5"/>
  <c r="E99" i="5"/>
  <c r="D99" i="5"/>
  <c r="C99" i="5"/>
  <c r="Q94" i="5"/>
  <c r="K94" i="5"/>
  <c r="J94" i="5"/>
  <c r="I94" i="5"/>
  <c r="F94" i="5"/>
  <c r="E94" i="5"/>
  <c r="D94" i="5"/>
  <c r="P93" i="5"/>
  <c r="O93" i="5"/>
  <c r="N93" i="5"/>
  <c r="M93" i="5"/>
  <c r="L93" i="5"/>
  <c r="P92" i="5"/>
  <c r="O92" i="5"/>
  <c r="M92" i="5"/>
  <c r="L92" i="5"/>
  <c r="K92" i="5"/>
  <c r="H92" i="5"/>
  <c r="H94" i="5" s="1"/>
  <c r="G92" i="5"/>
  <c r="G94" i="5" s="1"/>
  <c r="P91" i="5"/>
  <c r="O91" i="5"/>
  <c r="N91" i="5"/>
  <c r="M91" i="5"/>
  <c r="L91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Q82" i="5"/>
  <c r="K82" i="5"/>
  <c r="J82" i="5"/>
  <c r="I82" i="5"/>
  <c r="G82" i="5"/>
  <c r="F82" i="5"/>
  <c r="E82" i="5"/>
  <c r="D82" i="5"/>
  <c r="P81" i="5"/>
  <c r="O81" i="5"/>
  <c r="N81" i="5"/>
  <c r="N82" i="5" s="1"/>
  <c r="M81" i="5"/>
  <c r="M82" i="5" s="1"/>
  <c r="L81" i="5"/>
  <c r="P80" i="5"/>
  <c r="O80" i="5"/>
  <c r="L80" i="5"/>
  <c r="K80" i="5"/>
  <c r="G80" i="5"/>
  <c r="C80" i="5"/>
  <c r="C82" i="5" s="1"/>
  <c r="P79" i="5"/>
  <c r="O79" i="5"/>
  <c r="L79" i="5"/>
  <c r="L82" i="5" s="1"/>
  <c r="K79" i="5"/>
  <c r="H79" i="5"/>
  <c r="Q76" i="5"/>
  <c r="K76" i="5"/>
  <c r="J76" i="5"/>
  <c r="I76" i="5"/>
  <c r="F76" i="5"/>
  <c r="E76" i="5"/>
  <c r="D76" i="5"/>
  <c r="P75" i="5"/>
  <c r="O75" i="5"/>
  <c r="N75" i="5"/>
  <c r="N76" i="5" s="1"/>
  <c r="M75" i="5"/>
  <c r="M76" i="5" s="1"/>
  <c r="L75" i="5"/>
  <c r="P74" i="5"/>
  <c r="O74" i="5"/>
  <c r="L74" i="5"/>
  <c r="K74" i="5"/>
  <c r="G74" i="5"/>
  <c r="G76" i="5" s="1"/>
  <c r="C74" i="5"/>
  <c r="P73" i="5"/>
  <c r="O73" i="5"/>
  <c r="L73" i="5"/>
  <c r="K73" i="5"/>
  <c r="H73" i="5"/>
  <c r="J70" i="5"/>
  <c r="I70" i="5"/>
  <c r="G70" i="5"/>
  <c r="F70" i="5"/>
  <c r="E70" i="5"/>
  <c r="Q69" i="5"/>
  <c r="P69" i="5"/>
  <c r="O69" i="5"/>
  <c r="N69" i="5"/>
  <c r="M69" i="5"/>
  <c r="L69" i="5"/>
  <c r="P68" i="5"/>
  <c r="O68" i="5"/>
  <c r="M68" i="5"/>
  <c r="L68" i="5"/>
  <c r="K68" i="5"/>
  <c r="Q67" i="5"/>
  <c r="P67" i="5"/>
  <c r="O67" i="5"/>
  <c r="N67" i="5"/>
  <c r="M67" i="5"/>
  <c r="L67" i="5"/>
  <c r="K67" i="5"/>
  <c r="K70" i="5" s="1"/>
  <c r="H67" i="5"/>
  <c r="Q64" i="5"/>
  <c r="J64" i="5"/>
  <c r="I64" i="5"/>
  <c r="F64" i="5"/>
  <c r="E64" i="5"/>
  <c r="D64" i="5"/>
  <c r="P63" i="5"/>
  <c r="O63" i="5"/>
  <c r="N63" i="5"/>
  <c r="M63" i="5"/>
  <c r="L63" i="5"/>
  <c r="P62" i="5"/>
  <c r="O62" i="5"/>
  <c r="N62" i="5"/>
  <c r="M62" i="5"/>
  <c r="L62" i="5"/>
  <c r="K62" i="5"/>
  <c r="G62" i="5"/>
  <c r="G64" i="5" s="1"/>
  <c r="C62" i="5"/>
  <c r="P61" i="5"/>
  <c r="O61" i="5"/>
  <c r="N61" i="5"/>
  <c r="M61" i="5"/>
  <c r="L61" i="5"/>
  <c r="K61" i="5"/>
  <c r="K64" i="5" s="1"/>
  <c r="H61" i="5"/>
  <c r="H62" i="5" s="1"/>
  <c r="Q58" i="5"/>
  <c r="K58" i="5"/>
  <c r="J58" i="5"/>
  <c r="I58" i="5"/>
  <c r="G58" i="5"/>
  <c r="F58" i="5"/>
  <c r="E58" i="5"/>
  <c r="D58" i="5"/>
  <c r="C58" i="5"/>
  <c r="P57" i="5"/>
  <c r="O57" i="5"/>
  <c r="N57" i="5"/>
  <c r="M57" i="5"/>
  <c r="L57" i="5"/>
  <c r="P56" i="5"/>
  <c r="O56" i="5"/>
  <c r="N56" i="5"/>
  <c r="M56" i="5"/>
  <c r="L56" i="5"/>
  <c r="K56" i="5"/>
  <c r="H56" i="5"/>
  <c r="H58" i="5" s="1"/>
  <c r="G56" i="5"/>
  <c r="Q53" i="5"/>
  <c r="J53" i="5"/>
  <c r="I53" i="5"/>
  <c r="H53" i="5"/>
  <c r="G53" i="5"/>
  <c r="F53" i="5"/>
  <c r="E53" i="5"/>
  <c r="D53" i="5"/>
  <c r="P52" i="5"/>
  <c r="P53" i="5" s="1"/>
  <c r="O52" i="5"/>
  <c r="O53" i="5" s="1"/>
  <c r="N52" i="5"/>
  <c r="N53" i="5" s="1"/>
  <c r="M52" i="5"/>
  <c r="M53" i="5" s="1"/>
  <c r="L52" i="5"/>
  <c r="L53" i="5" s="1"/>
  <c r="K52" i="5"/>
  <c r="K53" i="5" s="1"/>
  <c r="G52" i="5"/>
  <c r="Q49" i="5"/>
  <c r="J49" i="5"/>
  <c r="I49" i="5"/>
  <c r="H49" i="5"/>
  <c r="G49" i="5"/>
  <c r="F49" i="5"/>
  <c r="E49" i="5"/>
  <c r="D49" i="5"/>
  <c r="C49" i="5"/>
  <c r="P48" i="5"/>
  <c r="O48" i="5"/>
  <c r="N48" i="5"/>
  <c r="M48" i="5"/>
  <c r="L48" i="5"/>
  <c r="P47" i="5"/>
  <c r="O47" i="5"/>
  <c r="N47" i="5"/>
  <c r="M47" i="5"/>
  <c r="L47" i="5"/>
  <c r="K47" i="5"/>
  <c r="K49" i="5" s="1"/>
  <c r="H47" i="5"/>
  <c r="G47" i="5"/>
  <c r="C47" i="5"/>
  <c r="P46" i="5"/>
  <c r="O46" i="5"/>
  <c r="N46" i="5"/>
  <c r="M46" i="5"/>
  <c r="L46" i="5"/>
  <c r="K46" i="5"/>
  <c r="H46" i="5"/>
  <c r="Q43" i="5"/>
  <c r="J43" i="5"/>
  <c r="I43" i="5"/>
  <c r="F43" i="5"/>
  <c r="E43" i="5"/>
  <c r="D43" i="5"/>
  <c r="P42" i="5"/>
  <c r="O42" i="5"/>
  <c r="N42" i="5"/>
  <c r="M42" i="5"/>
  <c r="L42" i="5"/>
  <c r="P41" i="5"/>
  <c r="O41" i="5"/>
  <c r="N41" i="5"/>
  <c r="M41" i="5"/>
  <c r="L41" i="5"/>
  <c r="K41" i="5"/>
  <c r="H41" i="5"/>
  <c r="H43" i="5" s="1"/>
  <c r="G41" i="5"/>
  <c r="G43" i="5" s="1"/>
  <c r="C41" i="5"/>
  <c r="P40" i="5"/>
  <c r="O40" i="5"/>
  <c r="N40" i="5"/>
  <c r="M40" i="5"/>
  <c r="L40" i="5"/>
  <c r="K40" i="5"/>
  <c r="K43" i="5" s="1"/>
  <c r="H40" i="5"/>
  <c r="Q37" i="5"/>
  <c r="K37" i="5"/>
  <c r="J37" i="5"/>
  <c r="I37" i="5"/>
  <c r="H37" i="5"/>
  <c r="G37" i="5"/>
  <c r="F37" i="5"/>
  <c r="E37" i="5"/>
  <c r="D37" i="5"/>
  <c r="C37" i="5"/>
  <c r="P36" i="5"/>
  <c r="P37" i="5" s="1"/>
  <c r="O36" i="5"/>
  <c r="O37" i="5" s="1"/>
  <c r="N36" i="5"/>
  <c r="N37" i="5" s="1"/>
  <c r="M36" i="5"/>
  <c r="M37" i="5" s="1"/>
  <c r="L36" i="5"/>
  <c r="L37" i="5" s="1"/>
  <c r="Q33" i="5"/>
  <c r="J33" i="5"/>
  <c r="I33" i="5"/>
  <c r="G33" i="5"/>
  <c r="F33" i="5"/>
  <c r="E33" i="5"/>
  <c r="D33" i="5"/>
  <c r="P32" i="5"/>
  <c r="O32" i="5"/>
  <c r="N32" i="5"/>
  <c r="M32" i="5"/>
  <c r="L32" i="5"/>
  <c r="P31" i="5"/>
  <c r="O31" i="5"/>
  <c r="N31" i="5"/>
  <c r="M31" i="5"/>
  <c r="L31" i="5"/>
  <c r="K31" i="5"/>
  <c r="G31" i="5"/>
  <c r="P30" i="5"/>
  <c r="O30" i="5"/>
  <c r="N30" i="5"/>
  <c r="M30" i="5"/>
  <c r="L30" i="5"/>
  <c r="K30" i="5"/>
  <c r="H30" i="5"/>
  <c r="Q27" i="5"/>
  <c r="P27" i="5"/>
  <c r="W27" i="5" s="1"/>
  <c r="X27" i="5" s="1"/>
  <c r="O27" i="5"/>
  <c r="R27" i="5" s="1"/>
  <c r="S27" i="5" s="1"/>
  <c r="N27" i="5"/>
  <c r="M27" i="5"/>
  <c r="L27" i="5"/>
  <c r="K27" i="5"/>
  <c r="J27" i="5"/>
  <c r="I27" i="5"/>
  <c r="H27" i="5"/>
  <c r="G27" i="5"/>
  <c r="F27" i="5"/>
  <c r="E27" i="5"/>
  <c r="D27" i="5"/>
  <c r="C27" i="5"/>
  <c r="Q23" i="5"/>
  <c r="K23" i="5"/>
  <c r="J23" i="5"/>
  <c r="I23" i="5"/>
  <c r="H23" i="5"/>
  <c r="G23" i="5"/>
  <c r="F23" i="5"/>
  <c r="E23" i="5"/>
  <c r="D23" i="5"/>
  <c r="P22" i="5"/>
  <c r="O22" i="5"/>
  <c r="N22" i="5"/>
  <c r="M22" i="5"/>
  <c r="L22" i="5"/>
  <c r="P21" i="5"/>
  <c r="O21" i="5"/>
  <c r="N21" i="5"/>
  <c r="M21" i="5"/>
  <c r="L21" i="5"/>
  <c r="Q18" i="5"/>
  <c r="J18" i="5"/>
  <c r="I18" i="5"/>
  <c r="F18" i="5"/>
  <c r="E18" i="5"/>
  <c r="D18" i="5"/>
  <c r="C18" i="5"/>
  <c r="P17" i="5"/>
  <c r="O17" i="5"/>
  <c r="N17" i="5"/>
  <c r="M17" i="5"/>
  <c r="L17" i="5"/>
  <c r="P16" i="5"/>
  <c r="O16" i="5"/>
  <c r="N16" i="5"/>
  <c r="M16" i="5"/>
  <c r="L16" i="5"/>
  <c r="K16" i="5"/>
  <c r="K18" i="5" s="1"/>
  <c r="G16" i="5"/>
  <c r="G18" i="5" s="1"/>
  <c r="C16" i="5"/>
  <c r="P15" i="5"/>
  <c r="O15" i="5"/>
  <c r="N15" i="5"/>
  <c r="M15" i="5"/>
  <c r="L15" i="5"/>
  <c r="K15" i="5"/>
  <c r="H15" i="5"/>
  <c r="Q12" i="5"/>
  <c r="L12" i="5"/>
  <c r="J12" i="5"/>
  <c r="I12" i="5"/>
  <c r="H12" i="5"/>
  <c r="G12" i="5"/>
  <c r="F12" i="5"/>
  <c r="E12" i="5"/>
  <c r="D12" i="5"/>
  <c r="K10" i="5"/>
  <c r="K12" i="5" s="1"/>
  <c r="H10" i="5"/>
  <c r="G10" i="5"/>
  <c r="C10" i="5"/>
  <c r="P9" i="5"/>
  <c r="P12" i="5" s="1"/>
  <c r="O9" i="5"/>
  <c r="O12" i="5" s="1"/>
  <c r="N9" i="5"/>
  <c r="N12" i="5" s="1"/>
  <c r="M9" i="5"/>
  <c r="M12" i="5" s="1"/>
  <c r="Q6" i="5"/>
  <c r="L6" i="5"/>
  <c r="K6" i="5"/>
  <c r="J6" i="5"/>
  <c r="I6" i="5"/>
  <c r="H6" i="5"/>
  <c r="G6" i="5"/>
  <c r="F6" i="5"/>
  <c r="E6" i="5"/>
  <c r="D6" i="5"/>
  <c r="P5" i="5"/>
  <c r="P6" i="5" s="1"/>
  <c r="O5" i="5"/>
  <c r="O6" i="5" s="1"/>
  <c r="N5" i="5"/>
  <c r="N6" i="5" s="1"/>
  <c r="M5" i="5"/>
  <c r="M6" i="5" s="1"/>
  <c r="C176" i="5" l="1"/>
  <c r="R273" i="5"/>
  <c r="N258" i="5"/>
  <c r="W194" i="5"/>
  <c r="X194" i="5" s="1"/>
  <c r="Q205" i="5"/>
  <c r="L23" i="5"/>
  <c r="O230" i="5"/>
  <c r="P285" i="5"/>
  <c r="N317" i="5"/>
  <c r="M205" i="5"/>
  <c r="O58" i="5"/>
  <c r="P110" i="5"/>
  <c r="L205" i="5"/>
  <c r="O300" i="5"/>
  <c r="P300" i="5"/>
  <c r="P279" i="5"/>
  <c r="O224" i="5"/>
  <c r="N120" i="5"/>
  <c r="O43" i="5"/>
  <c r="O205" i="5"/>
  <c r="W12" i="5"/>
  <c r="X12" i="5" s="1"/>
  <c r="W6" i="5"/>
  <c r="X6" i="5" s="1"/>
  <c r="M268" i="5"/>
  <c r="M18" i="5"/>
  <c r="P230" i="5"/>
  <c r="L285" i="5"/>
  <c r="N300" i="5"/>
  <c r="N247" i="5"/>
  <c r="L279" i="5"/>
  <c r="P235" i="5"/>
  <c r="M258" i="5"/>
  <c r="M241" i="5"/>
  <c r="N230" i="5"/>
  <c r="C260" i="5"/>
  <c r="E260" i="5"/>
  <c r="F260" i="5"/>
  <c r="K260" i="5"/>
  <c r="M300" i="5"/>
  <c r="O18" i="5"/>
  <c r="M279" i="5"/>
  <c r="O241" i="5"/>
  <c r="L290" i="5"/>
  <c r="P23" i="5"/>
  <c r="P49" i="5"/>
  <c r="M132" i="5"/>
  <c r="P219" i="5"/>
  <c r="O258" i="5"/>
  <c r="R258" i="5" s="1"/>
  <c r="S258" i="5" s="1"/>
  <c r="M290" i="5"/>
  <c r="O174" i="5"/>
  <c r="L306" i="5"/>
  <c r="M213" i="5"/>
  <c r="M219" i="5"/>
  <c r="P258" i="5"/>
  <c r="W258" i="5" s="1"/>
  <c r="X258" i="5" s="1"/>
  <c r="L317" i="5"/>
  <c r="P268" i="5"/>
  <c r="P18" i="5"/>
  <c r="N18" i="5"/>
  <c r="O64" i="5"/>
  <c r="L156" i="5"/>
  <c r="N213" i="5"/>
  <c r="P224" i="5"/>
  <c r="L230" i="5"/>
  <c r="M235" i="5"/>
  <c r="L253" i="5"/>
  <c r="M317" i="5"/>
  <c r="P317" i="5"/>
  <c r="W321" i="5"/>
  <c r="X321" i="5" s="1"/>
  <c r="O368" i="5"/>
  <c r="R6" i="5"/>
  <c r="S6" i="5" s="1"/>
  <c r="L224" i="5"/>
  <c r="N279" i="5"/>
  <c r="O23" i="5"/>
  <c r="P241" i="5"/>
  <c r="O279" i="5"/>
  <c r="N43" i="5"/>
  <c r="P43" i="5"/>
  <c r="M110" i="5"/>
  <c r="P120" i="5"/>
  <c r="O213" i="5"/>
  <c r="L219" i="5"/>
  <c r="N241" i="5"/>
  <c r="P312" i="5"/>
  <c r="P127" i="5"/>
  <c r="O120" i="5"/>
  <c r="L368" i="5"/>
  <c r="L168" i="5"/>
  <c r="L174" i="5"/>
  <c r="J292" i="5"/>
  <c r="M368" i="5"/>
  <c r="N23" i="5"/>
  <c r="R37" i="5"/>
  <c r="S37" i="5" s="1"/>
  <c r="Q70" i="5"/>
  <c r="Q112" i="5" s="1"/>
  <c r="L76" i="5"/>
  <c r="M120" i="5"/>
  <c r="K292" i="5"/>
  <c r="L312" i="5"/>
  <c r="I323" i="5"/>
  <c r="O317" i="5"/>
  <c r="M329" i="5"/>
  <c r="M331" i="5" s="1"/>
  <c r="N368" i="5"/>
  <c r="M33" i="5"/>
  <c r="P64" i="5"/>
  <c r="O247" i="5"/>
  <c r="N290" i="5"/>
  <c r="N329" i="5"/>
  <c r="N331" i="5" s="1"/>
  <c r="N58" i="5"/>
  <c r="O168" i="5"/>
  <c r="N306" i="5"/>
  <c r="N33" i="5"/>
  <c r="M127" i="5"/>
  <c r="N132" i="5"/>
  <c r="P168" i="5"/>
  <c r="P174" i="5"/>
  <c r="O219" i="5"/>
  <c r="L241" i="5"/>
  <c r="M247" i="5"/>
  <c r="N268" i="5"/>
  <c r="P290" i="5"/>
  <c r="M312" i="5"/>
  <c r="P329" i="5"/>
  <c r="W37" i="5"/>
  <c r="X37" i="5" s="1"/>
  <c r="N168" i="5"/>
  <c r="L268" i="5"/>
  <c r="O285" i="5"/>
  <c r="L18" i="5"/>
  <c r="O82" i="5"/>
  <c r="R82" i="5" s="1"/>
  <c r="N219" i="5"/>
  <c r="L235" i="5"/>
  <c r="Q292" i="5"/>
  <c r="O306" i="5"/>
  <c r="O33" i="5"/>
  <c r="N49" i="5"/>
  <c r="P105" i="5"/>
  <c r="N110" i="5"/>
  <c r="O127" i="5"/>
  <c r="L132" i="5"/>
  <c r="M224" i="5"/>
  <c r="M230" i="5"/>
  <c r="N235" i="5"/>
  <c r="O268" i="5"/>
  <c r="M285" i="5"/>
  <c r="N285" i="5"/>
  <c r="P306" i="5"/>
  <c r="N312" i="5"/>
  <c r="O329" i="5"/>
  <c r="O331" i="5" s="1"/>
  <c r="N174" i="5"/>
  <c r="M174" i="5"/>
  <c r="M168" i="5"/>
  <c r="N64" i="5"/>
  <c r="L58" i="5"/>
  <c r="L49" i="5"/>
  <c r="M49" i="5"/>
  <c r="O49" i="5"/>
  <c r="L43" i="5"/>
  <c r="F176" i="5"/>
  <c r="O132" i="5"/>
  <c r="D176" i="5"/>
  <c r="P132" i="5"/>
  <c r="G176" i="5"/>
  <c r="J176" i="5"/>
  <c r="F112" i="5"/>
  <c r="L110" i="5"/>
  <c r="L105" i="5"/>
  <c r="N105" i="5"/>
  <c r="O105" i="5"/>
  <c r="M105" i="5"/>
  <c r="R253" i="5"/>
  <c r="S253" i="5" s="1"/>
  <c r="W253" i="5"/>
  <c r="X253" i="5" s="1"/>
  <c r="P94" i="5"/>
  <c r="I260" i="5"/>
  <c r="N205" i="5"/>
  <c r="W162" i="5"/>
  <c r="X162" i="5" s="1"/>
  <c r="R162" i="5"/>
  <c r="S162" i="5" s="1"/>
  <c r="M70" i="5"/>
  <c r="O94" i="5"/>
  <c r="M94" i="5"/>
  <c r="N138" i="5"/>
  <c r="R144" i="5"/>
  <c r="P138" i="5"/>
  <c r="L138" i="5"/>
  <c r="O138" i="5"/>
  <c r="P70" i="5"/>
  <c r="L70" i="5"/>
  <c r="G112" i="5"/>
  <c r="R53" i="5"/>
  <c r="S53" i="5" s="1"/>
  <c r="H18" i="5"/>
  <c r="H33" i="5"/>
  <c r="Q176" i="5"/>
  <c r="L346" i="5"/>
  <c r="L348" i="5" s="1"/>
  <c r="P33" i="5"/>
  <c r="P58" i="5"/>
  <c r="N70" i="5"/>
  <c r="O76" i="5"/>
  <c r="R76" i="5" s="1"/>
  <c r="H118" i="5"/>
  <c r="H120" i="5" s="1"/>
  <c r="P156" i="5"/>
  <c r="T194" i="5"/>
  <c r="F292" i="5"/>
  <c r="M23" i="5"/>
  <c r="O70" i="5"/>
  <c r="P76" i="5"/>
  <c r="P82" i="5"/>
  <c r="I112" i="5"/>
  <c r="M306" i="5"/>
  <c r="H217" i="5"/>
  <c r="H219" i="5" s="1"/>
  <c r="H247" i="5"/>
  <c r="H245" i="5"/>
  <c r="H80" i="5"/>
  <c r="H82" i="5" s="1"/>
  <c r="L94" i="5"/>
  <c r="L247" i="5"/>
  <c r="H368" i="5"/>
  <c r="H364" i="5"/>
  <c r="H16" i="5"/>
  <c r="L33" i="5"/>
  <c r="M43" i="5"/>
  <c r="W53" i="5"/>
  <c r="X53" i="5" s="1"/>
  <c r="I176" i="5"/>
  <c r="O356" i="5"/>
  <c r="R354" i="5"/>
  <c r="S354" i="5" s="1"/>
  <c r="K33" i="5"/>
  <c r="K112" i="5" s="1"/>
  <c r="H64" i="5"/>
  <c r="G260" i="5"/>
  <c r="M58" i="5"/>
  <c r="M64" i="5"/>
  <c r="L64" i="5"/>
  <c r="J112" i="5"/>
  <c r="H205" i="5"/>
  <c r="W203" i="5"/>
  <c r="X203" i="5" s="1"/>
  <c r="P205" i="5"/>
  <c r="O235" i="5"/>
  <c r="O290" i="5"/>
  <c r="L300" i="5"/>
  <c r="R321" i="5"/>
  <c r="S321" i="5" s="1"/>
  <c r="E358" i="5"/>
  <c r="E370" i="5" s="1"/>
  <c r="H298" i="5"/>
  <c r="H300" i="5" s="1"/>
  <c r="H323" i="5" s="1"/>
  <c r="R12" i="5"/>
  <c r="S12" i="5" s="1"/>
  <c r="L127" i="5"/>
  <c r="R150" i="5"/>
  <c r="K176" i="5"/>
  <c r="H251" i="5"/>
  <c r="H253" i="5"/>
  <c r="F358" i="5"/>
  <c r="F370" i="5" s="1"/>
  <c r="G323" i="5"/>
  <c r="W354" i="5"/>
  <c r="X354" i="5" s="1"/>
  <c r="P356" i="5"/>
  <c r="H31" i="5"/>
  <c r="C112" i="5"/>
  <c r="M144" i="5"/>
  <c r="O156" i="5"/>
  <c r="R156" i="5" s="1"/>
  <c r="I194" i="5"/>
  <c r="I205" i="5" s="1"/>
  <c r="G205" i="5"/>
  <c r="L213" i="5"/>
  <c r="L258" i="5"/>
  <c r="I292" i="5"/>
  <c r="C323" i="5"/>
  <c r="C358" i="5" s="1"/>
  <c r="C370" i="5" s="1"/>
  <c r="D112" i="5"/>
  <c r="H136" i="5"/>
  <c r="H138" i="5" s="1"/>
  <c r="H176" i="5" s="1"/>
  <c r="E176" i="5"/>
  <c r="D260" i="5"/>
  <c r="P247" i="5"/>
  <c r="O312" i="5"/>
  <c r="K323" i="5"/>
  <c r="H74" i="5"/>
  <c r="H76" i="5" s="1"/>
  <c r="R88" i="5"/>
  <c r="O110" i="5"/>
  <c r="E112" i="5"/>
  <c r="L120" i="5"/>
  <c r="N127" i="5"/>
  <c r="P213" i="5"/>
  <c r="D358" i="5"/>
  <c r="D370" i="5" s="1"/>
  <c r="P368" i="5"/>
  <c r="D56" i="1" s="1"/>
  <c r="H68" i="5"/>
  <c r="H70" i="5" s="1"/>
  <c r="M138" i="5"/>
  <c r="N224" i="5"/>
  <c r="D292" i="5"/>
  <c r="L329" i="5"/>
  <c r="L331" i="5" s="1"/>
  <c r="M346" i="5"/>
  <c r="M348" i="5" s="1"/>
  <c r="G346" i="5"/>
  <c r="G348" i="5" s="1"/>
  <c r="R203" i="5"/>
  <c r="S203" i="5" s="1"/>
  <c r="H211" i="5"/>
  <c r="H213" i="5" s="1"/>
  <c r="H266" i="5"/>
  <c r="H268" i="5" s="1"/>
  <c r="H292" i="5" s="1"/>
  <c r="Q358" i="5" l="1"/>
  <c r="Q370" i="5" s="1"/>
  <c r="R230" i="5"/>
  <c r="S230" i="5" s="1"/>
  <c r="R300" i="5"/>
  <c r="S300" i="5" s="1"/>
  <c r="W285" i="5"/>
  <c r="X285" i="5" s="1"/>
  <c r="R168" i="5"/>
  <c r="S168" i="5" s="1"/>
  <c r="R18" i="5"/>
  <c r="S18" i="5" s="1"/>
  <c r="N323" i="5"/>
  <c r="R317" i="5"/>
  <c r="S317" i="5" s="1"/>
  <c r="W138" i="5"/>
  <c r="X138" i="5" s="1"/>
  <c r="R43" i="5"/>
  <c r="S43" i="5" s="1"/>
  <c r="W43" i="5"/>
  <c r="X43" i="5" s="1"/>
  <c r="W235" i="5"/>
  <c r="X235" i="5" s="1"/>
  <c r="W168" i="5"/>
  <c r="X168" i="5" s="1"/>
  <c r="W120" i="5"/>
  <c r="X120" i="5" s="1"/>
  <c r="R58" i="5"/>
  <c r="S58" i="5" s="1"/>
  <c r="W279" i="5"/>
  <c r="X279" i="5" s="1"/>
  <c r="W110" i="5"/>
  <c r="X110" i="5" s="1"/>
  <c r="W329" i="5"/>
  <c r="X329" i="5" s="1"/>
  <c r="R64" i="5"/>
  <c r="S64" i="5" s="1"/>
  <c r="W290" i="5"/>
  <c r="X290" i="5" s="1"/>
  <c r="R138" i="5"/>
  <c r="S138" i="5" s="1"/>
  <c r="R120" i="5"/>
  <c r="S120" i="5" s="1"/>
  <c r="L112" i="5"/>
  <c r="R33" i="5"/>
  <c r="S33" i="5" s="1"/>
  <c r="W18" i="5"/>
  <c r="X18" i="5" s="1"/>
  <c r="W247" i="5"/>
  <c r="X247" i="5" s="1"/>
  <c r="M292" i="5"/>
  <c r="R132" i="5"/>
  <c r="S132" i="5" s="1"/>
  <c r="R285" i="5"/>
  <c r="S285" i="5" s="1"/>
  <c r="W300" i="5"/>
  <c r="X300" i="5" s="1"/>
  <c r="P292" i="5"/>
  <c r="R247" i="5"/>
  <c r="S247" i="5" s="1"/>
  <c r="L292" i="5"/>
  <c r="R306" i="5"/>
  <c r="S306" i="5" s="1"/>
  <c r="W312" i="5"/>
  <c r="X312" i="5" s="1"/>
  <c r="R279" i="5"/>
  <c r="S279" i="5" s="1"/>
  <c r="P323" i="5"/>
  <c r="W241" i="5"/>
  <c r="X241" i="5" s="1"/>
  <c r="R241" i="5"/>
  <c r="S241" i="5" s="1"/>
  <c r="W230" i="5"/>
  <c r="X230" i="5" s="1"/>
  <c r="W224" i="5"/>
  <c r="X224" i="5" s="1"/>
  <c r="R213" i="5"/>
  <c r="S213" i="5" s="1"/>
  <c r="W219" i="5"/>
  <c r="X219" i="5" s="1"/>
  <c r="O292" i="5"/>
  <c r="W317" i="5"/>
  <c r="X317" i="5" s="1"/>
  <c r="L323" i="5"/>
  <c r="R312" i="5"/>
  <c r="S312" i="5" s="1"/>
  <c r="R290" i="5"/>
  <c r="S290" i="5" s="1"/>
  <c r="R329" i="5"/>
  <c r="S329" i="5" s="1"/>
  <c r="W268" i="5"/>
  <c r="X268" i="5" s="1"/>
  <c r="W23" i="5"/>
  <c r="X23" i="5" s="1"/>
  <c r="W105" i="5"/>
  <c r="X105" i="5" s="1"/>
  <c r="W49" i="5"/>
  <c r="X49" i="5" s="1"/>
  <c r="R331" i="5"/>
  <c r="S331" i="5" s="1"/>
  <c r="R224" i="5"/>
  <c r="S224" i="5" s="1"/>
  <c r="M260" i="5"/>
  <c r="R268" i="5"/>
  <c r="S268" i="5" s="1"/>
  <c r="M323" i="5"/>
  <c r="W132" i="5"/>
  <c r="X132" i="5" s="1"/>
  <c r="P176" i="5"/>
  <c r="W127" i="5"/>
  <c r="X127" i="5" s="1"/>
  <c r="N292" i="5"/>
  <c r="R235" i="5"/>
  <c r="S235" i="5" s="1"/>
  <c r="N176" i="5"/>
  <c r="P331" i="5"/>
  <c r="W331" i="5" s="1"/>
  <c r="X331" i="5" s="1"/>
  <c r="R49" i="5"/>
  <c r="S49" i="5" s="1"/>
  <c r="R368" i="5"/>
  <c r="S368" i="5" s="1"/>
  <c r="R23" i="5"/>
  <c r="S23" i="5" s="1"/>
  <c r="W58" i="5"/>
  <c r="X58" i="5" s="1"/>
  <c r="R105" i="5"/>
  <c r="S105" i="5" s="1"/>
  <c r="W306" i="5"/>
  <c r="X306" i="5" s="1"/>
  <c r="W368" i="5"/>
  <c r="X368" i="5" s="1"/>
  <c r="W33" i="5"/>
  <c r="X33" i="5" s="1"/>
  <c r="R219" i="5"/>
  <c r="S219" i="5" s="1"/>
  <c r="W174" i="5"/>
  <c r="X174" i="5" s="1"/>
  <c r="R174" i="5"/>
  <c r="S174" i="5" s="1"/>
  <c r="J358" i="5"/>
  <c r="J370" i="5" s="1"/>
  <c r="K358" i="5"/>
  <c r="K370" i="5" s="1"/>
  <c r="M176" i="5"/>
  <c r="W64" i="5"/>
  <c r="X64" i="5" s="1"/>
  <c r="P112" i="5"/>
  <c r="M112" i="5"/>
  <c r="L176" i="5"/>
  <c r="R70" i="5"/>
  <c r="S70" i="5" s="1"/>
  <c r="H260" i="5"/>
  <c r="H112" i="5"/>
  <c r="P260" i="5"/>
  <c r="W213" i="5"/>
  <c r="X213" i="5" s="1"/>
  <c r="O112" i="5"/>
  <c r="R110" i="5"/>
  <c r="S110" i="5" s="1"/>
  <c r="W205" i="5"/>
  <c r="X205" i="5" s="1"/>
  <c r="R205" i="5"/>
  <c r="R356" i="5"/>
  <c r="S356" i="5" s="1"/>
  <c r="R127" i="5"/>
  <c r="S127" i="5" s="1"/>
  <c r="N260" i="5"/>
  <c r="G358" i="5"/>
  <c r="G370" i="5" s="1"/>
  <c r="L260" i="5"/>
  <c r="O176" i="5"/>
  <c r="O323" i="5"/>
  <c r="W70" i="5"/>
  <c r="X70" i="5" s="1"/>
  <c r="O260" i="5"/>
  <c r="I358" i="5"/>
  <c r="I370" i="5" s="1"/>
  <c r="W356" i="5"/>
  <c r="X356" i="5" s="1"/>
  <c r="W292" i="5" l="1"/>
  <c r="X292" i="5" s="1"/>
  <c r="R323" i="5"/>
  <c r="S323" i="5" s="1"/>
  <c r="W323" i="5"/>
  <c r="X323" i="5" s="1"/>
  <c r="R292" i="5"/>
  <c r="V292" i="5" s="1"/>
  <c r="H358" i="5"/>
  <c r="H370" i="5" s="1"/>
  <c r="H373" i="5" s="1"/>
  <c r="L358" i="5"/>
  <c r="L370" i="5" s="1"/>
  <c r="W176" i="5"/>
  <c r="X176" i="5" s="1"/>
  <c r="R176" i="5"/>
  <c r="S176" i="5" s="1"/>
  <c r="M358" i="5"/>
  <c r="M370" i="5" s="1"/>
  <c r="W260" i="5"/>
  <c r="X260" i="5" s="1"/>
  <c r="V205" i="5"/>
  <c r="S205" i="5"/>
  <c r="R260" i="5"/>
  <c r="V323" i="5" l="1"/>
  <c r="S292" i="5"/>
  <c r="V176" i="5"/>
  <c r="V260" i="5"/>
  <c r="S260" i="5"/>
  <c r="D24" i="1" l="1"/>
  <c r="D21" i="2" l="1"/>
  <c r="D7" i="1"/>
  <c r="D10" i="1" s="1"/>
  <c r="B24" i="1"/>
  <c r="B7" i="1"/>
  <c r="B10" i="1" s="1"/>
  <c r="B57" i="2"/>
  <c r="B21" i="2"/>
  <c r="B35" i="2"/>
  <c r="B35" i="1"/>
  <c r="B44" i="1"/>
  <c r="B26" i="1" l="1"/>
  <c r="B37" i="2"/>
  <c r="D37" i="2"/>
  <c r="D43" i="1" s="1"/>
  <c r="D44" i="1" s="1"/>
  <c r="D26" i="1"/>
  <c r="B56" i="1" l="1"/>
  <c r="B58" i="1" s="1"/>
  <c r="B60" i="1" s="1"/>
  <c r="D58" i="1" l="1"/>
  <c r="D60" i="1" l="1"/>
  <c r="D62" i="1" l="1"/>
  <c r="N92" i="5"/>
  <c r="N94" i="5" s="1"/>
  <c r="W94" i="5" l="1"/>
  <c r="X94" i="5" s="1"/>
  <c r="N112" i="5"/>
  <c r="R94" i="5"/>
  <c r="S94" i="5" s="1"/>
  <c r="W112" i="5" l="1"/>
  <c r="X112" i="5" s="1"/>
  <c r="R112" i="5"/>
  <c r="V112" i="5" l="1"/>
  <c r="S112" i="5"/>
  <c r="O338" i="5" l="1"/>
  <c r="N339" i="5"/>
  <c r="O342" i="5"/>
  <c r="P342" i="5"/>
  <c r="N341" i="5"/>
  <c r="P337" i="5"/>
  <c r="P339" i="5"/>
  <c r="P345" i="5"/>
  <c r="N345" i="5"/>
  <c r="N338" i="5"/>
  <c r="P338" i="5"/>
  <c r="O339" i="5"/>
  <c r="N342" i="5"/>
  <c r="O343" i="5"/>
  <c r="P335" i="5"/>
  <c r="O340" i="5"/>
  <c r="O335" i="5"/>
  <c r="N340" i="5"/>
  <c r="O345" i="5"/>
  <c r="N343" i="5"/>
  <c r="P340" i="5"/>
  <c r="P343" i="5"/>
  <c r="N337" i="5"/>
  <c r="O344" i="5"/>
  <c r="P344" i="5"/>
  <c r="O337" i="5"/>
  <c r="N335" i="5"/>
  <c r="N344" i="5"/>
  <c r="O341" i="5"/>
  <c r="P341" i="5"/>
  <c r="R344" i="5" l="1"/>
  <c r="S344" i="5" s="1"/>
  <c r="R340" i="5"/>
  <c r="S340" i="5" s="1"/>
  <c r="W340" i="5"/>
  <c r="X340" i="5" s="1"/>
  <c r="W345" i="5"/>
  <c r="X345" i="5" s="1"/>
  <c r="W343" i="5"/>
  <c r="X343" i="5" s="1"/>
  <c r="R343" i="5"/>
  <c r="S343" i="5" s="1"/>
  <c r="R345" i="5"/>
  <c r="S345" i="5" s="1"/>
  <c r="R341" i="5"/>
  <c r="S341" i="5" s="1"/>
  <c r="W335" i="5"/>
  <c r="X335" i="5" s="1"/>
  <c r="R337" i="5"/>
  <c r="S337" i="5" s="1"/>
  <c r="W344" i="5"/>
  <c r="X344" i="5" s="1"/>
  <c r="W339" i="5"/>
  <c r="X339" i="5" s="1"/>
  <c r="R339" i="5"/>
  <c r="S339" i="5" s="1"/>
  <c r="W342" i="5"/>
  <c r="X342" i="5" s="1"/>
  <c r="R335" i="5"/>
  <c r="S335" i="5" s="1"/>
  <c r="O346" i="5"/>
  <c r="R338" i="5"/>
  <c r="S338" i="5" s="1"/>
  <c r="W337" i="5"/>
  <c r="X337" i="5" s="1"/>
  <c r="N346" i="5"/>
  <c r="N348" i="5" s="1"/>
  <c r="N358" i="5" s="1"/>
  <c r="W338" i="5"/>
  <c r="X338" i="5" s="1"/>
  <c r="R342" i="5"/>
  <c r="S342" i="5" s="1"/>
  <c r="W341" i="5"/>
  <c r="X341" i="5" s="1"/>
  <c r="P346" i="5"/>
  <c r="N370" i="5" l="1"/>
  <c r="O348" i="5"/>
  <c r="R346" i="5"/>
  <c r="P348" i="5"/>
  <c r="W346" i="5"/>
  <c r="X346" i="5" s="1"/>
  <c r="V346" i="5" l="1"/>
  <c r="S346" i="5"/>
  <c r="R348" i="5"/>
  <c r="S348" i="5" s="1"/>
  <c r="O358" i="5"/>
  <c r="W348" i="5"/>
  <c r="X348" i="5" s="1"/>
  <c r="P358" i="5"/>
  <c r="O370" i="5" l="1"/>
  <c r="R358" i="5"/>
  <c r="P370" i="5"/>
  <c r="W358" i="5"/>
  <c r="X358" i="5" s="1"/>
  <c r="B8" i="2" l="1"/>
  <c r="B39" i="2" s="1"/>
  <c r="B53" i="2" s="1"/>
  <c r="R370" i="5"/>
  <c r="S358" i="5"/>
  <c r="V358" i="5"/>
  <c r="D8" i="2"/>
  <c r="D39" i="2" s="1"/>
  <c r="D53" i="2" s="1"/>
  <c r="W370" i="5"/>
  <c r="X370" i="5" s="1"/>
  <c r="V370" i="5" l="1"/>
  <c r="S370" i="5"/>
</calcChain>
</file>

<file path=xl/comments1.xml><?xml version="1.0" encoding="utf-8"?>
<comments xmlns="http://schemas.openxmlformats.org/spreadsheetml/2006/main">
  <authors>
    <author xml:space="preserve"> </author>
    <author>Brian Turbitt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bturbitt :
From FY2013 Recap Sheet approved.
12.26.2012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 xml:space="preserve">bspain :
From FY2015 Recap Sheet approved.
12.16.2014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2" authorId="1">
      <text>
        <r>
          <rPr>
            <b/>
            <sz val="9"/>
            <color indexed="81"/>
            <rFont val="Tahoma"/>
            <family val="2"/>
          </rPr>
          <t>bob spain:</t>
        </r>
        <r>
          <rPr>
            <sz val="9"/>
            <color indexed="81"/>
            <rFont val="Tahoma"/>
            <family val="2"/>
          </rPr>
          <t xml:space="preserve">
02.02.2015
Free Cash has been reduced by $360,695.  This is the amount of money that was used from FC last year in the O&amp;M Budget.  Total Free Cash is actually 1,017,686.
</t>
        </r>
      </text>
    </comment>
  </commentList>
</comments>
</file>

<file path=xl/sharedStrings.xml><?xml version="1.0" encoding="utf-8"?>
<sst xmlns="http://schemas.openxmlformats.org/spreadsheetml/2006/main" count="430" uniqueCount="209">
  <si>
    <t>FY2012</t>
  </si>
  <si>
    <t>I. AMOUNT TO BE RAISED BY REAL AND PERSONAL PROPERTY TAXES:</t>
  </si>
  <si>
    <t>2 1/2% Increase</t>
  </si>
  <si>
    <t>Estimated New Growth</t>
  </si>
  <si>
    <t>Existing Debt Exclusions:</t>
  </si>
  <si>
    <t>School Construction Debt Exclusion(s):</t>
  </si>
  <si>
    <t>Sewer Construction Debt Exclusion(s):</t>
  </si>
  <si>
    <t>Millbury Fire Dept Rescue Truck</t>
  </si>
  <si>
    <t>Blackstone Valley Voc-Tec Debt Exclusion:</t>
  </si>
  <si>
    <t xml:space="preserve">      *Less Debt Reserves - SBA</t>
  </si>
  <si>
    <t xml:space="preserve">      *Less Sutton Debt Reserves</t>
  </si>
  <si>
    <t xml:space="preserve">      *Less Sutton Debt </t>
  </si>
  <si>
    <t>Total Debt Exclusions Net of State Aid and Adjustments</t>
  </si>
  <si>
    <t>II.  ESTIMATED RECEIPTS AND OTHER REVENUE SOURCES:</t>
  </si>
  <si>
    <t xml:space="preserve">      </t>
  </si>
  <si>
    <t>A.  CHERRY SHEET ESTIMATED RECEIPTS</t>
  </si>
  <si>
    <t>Local Education Aid (Chapter 70, Charter etc…)</t>
  </si>
  <si>
    <t>Unrestricted Local Government (lottery, Beano….etc)</t>
  </si>
  <si>
    <t>State Aid all other (Veterans, Police Career Incentive, Elderly, Blind Exemptions)</t>
  </si>
  <si>
    <t>Total State Aid</t>
  </si>
  <si>
    <t>B.  LOCAL ESTIMATED RECEIPTS</t>
  </si>
  <si>
    <t xml:space="preserve">C.  FREE CASH </t>
  </si>
  <si>
    <t>Articles</t>
  </si>
  <si>
    <t>D.  AVAILABLE FUND TRANSFERS:</t>
  </si>
  <si>
    <t>Revolving Funds</t>
  </si>
  <si>
    <t>Free Cash - Allocated to Stabilization Fund</t>
  </si>
  <si>
    <t>Other - FEMA Reimbursement Estimate</t>
  </si>
  <si>
    <t>Other - School Bldg. Assistance Debt Service Reserve</t>
  </si>
  <si>
    <t>Other - Blackstone Valley VTRHS Debt Service Reserve</t>
  </si>
  <si>
    <t>Other - Sutton Debt Service Reserves</t>
  </si>
  <si>
    <t>Other - Sewer Retained Earnings</t>
  </si>
  <si>
    <t>Other -  2005 Expansion Project</t>
  </si>
  <si>
    <t>Other - Sewer Receipts - UB Project</t>
  </si>
  <si>
    <t>Other- Sewer Indirect Costs - Sewer Receipts</t>
  </si>
  <si>
    <t>Other- Sewer Enterprise Receipts - O&amp;M</t>
  </si>
  <si>
    <t>Other- Sewer Enterprise Receipts - Capital Improvements</t>
  </si>
  <si>
    <t>TOTAL ESTIMATED RECEIPTS AND OTHER REVENUE</t>
  </si>
  <si>
    <t>III.  AMOUNTS TO BE RAISED</t>
  </si>
  <si>
    <t xml:space="preserve"> </t>
  </si>
  <si>
    <t xml:space="preserve">2.  Capital Improvement Program </t>
  </si>
  <si>
    <t>Total Capital Improvement</t>
  </si>
  <si>
    <t>3.  Special Articles:</t>
  </si>
  <si>
    <t>Total Special Articles</t>
  </si>
  <si>
    <t>Total articles</t>
  </si>
  <si>
    <t>TOTAL ANNUAL TOWN MEETING APPROPRATIONS</t>
  </si>
  <si>
    <t>B.  STATE AND COUNTY CHERRY SHEET CHARGES</t>
  </si>
  <si>
    <t>C.  CMRPC ASSESSMENT</t>
  </si>
  <si>
    <t>D.  STATE CHERRY SHEET OFFSET ITEMS</t>
  </si>
  <si>
    <t>E.  OTHER AMOUNTS TO BE RAISED(Revolving funds)</t>
  </si>
  <si>
    <t>F.  OTHER AMOUNTS TO BE RAISED (Snow &amp; Ice)</t>
  </si>
  <si>
    <t>G.  ALLOWANCE FOR ABATEMENTS &amp; EXEMPTIONS</t>
  </si>
  <si>
    <t>TOTAL AMOUNTS TO BE RAISED</t>
  </si>
  <si>
    <t>Line</t>
  </si>
  <si>
    <t>FY 2004</t>
  </si>
  <si>
    <t>FY 2005</t>
  </si>
  <si>
    <t>FY 2006</t>
  </si>
  <si>
    <t>FY 2007</t>
  </si>
  <si>
    <t>FY 2008</t>
  </si>
  <si>
    <t>FY 2009</t>
  </si>
  <si>
    <t>FY 2010</t>
  </si>
  <si>
    <t>Number</t>
  </si>
  <si>
    <t xml:space="preserve">Department </t>
  </si>
  <si>
    <t>Actual</t>
  </si>
  <si>
    <t>Town Moderator</t>
  </si>
  <si>
    <t>Salaries and Wages (All)</t>
  </si>
  <si>
    <t>Total</t>
  </si>
  <si>
    <t>Board of Selectmen</t>
  </si>
  <si>
    <t>General Expenses</t>
  </si>
  <si>
    <t>Capital Outlay</t>
  </si>
  <si>
    <t>Town Manager</t>
  </si>
  <si>
    <t>Finance Committee</t>
  </si>
  <si>
    <t>Reserve Fund</t>
  </si>
  <si>
    <t>Finance Director/Town Accountant</t>
  </si>
  <si>
    <t>Town Audit</t>
  </si>
  <si>
    <t>Board of Assessors</t>
  </si>
  <si>
    <t>Treasurer/Tax Collector</t>
  </si>
  <si>
    <t>Town Counsel</t>
  </si>
  <si>
    <t>Town Hall Computer Operations</t>
  </si>
  <si>
    <t>Town Clerk</t>
  </si>
  <si>
    <t>Elections and Registrars</t>
  </si>
  <si>
    <t>Conservation Commission</t>
  </si>
  <si>
    <t>Planning Board</t>
  </si>
  <si>
    <t>Board of Appeals</t>
  </si>
  <si>
    <t>Redevelopment Authority</t>
  </si>
  <si>
    <t>Town Hall</t>
  </si>
  <si>
    <t>Town Report</t>
  </si>
  <si>
    <t>Total General Government</t>
  </si>
  <si>
    <t>PUBLIC SAFETY</t>
  </si>
  <si>
    <t>Police Department</t>
  </si>
  <si>
    <t>Fire Department</t>
  </si>
  <si>
    <t>Fire Hydrant Expenses</t>
  </si>
  <si>
    <t>Ambulance Services</t>
  </si>
  <si>
    <t>Plumbing/Gas Inspector</t>
  </si>
  <si>
    <t>Sealer of Weights and Measures</t>
  </si>
  <si>
    <t>Electrical Inspector</t>
  </si>
  <si>
    <t>Emergency Management</t>
  </si>
  <si>
    <t>Animal Control Officer</t>
  </si>
  <si>
    <t>Tree Warden</t>
  </si>
  <si>
    <t>TOTAL PUBLIC SAFETY</t>
  </si>
  <si>
    <t>PUBLIC EDUCATION</t>
  </si>
  <si>
    <t>Millbury School Department</t>
  </si>
  <si>
    <t>Salaries (Elected)</t>
  </si>
  <si>
    <t>Administration</t>
  </si>
  <si>
    <t>Instruction</t>
  </si>
  <si>
    <t>Other Services</t>
  </si>
  <si>
    <t>Operations and Maintenance</t>
  </si>
  <si>
    <t>Fixed Charges</t>
  </si>
  <si>
    <t>Tuition and Programs with Other Districts</t>
  </si>
  <si>
    <t>Community Service</t>
  </si>
  <si>
    <t>Athletics Expenses</t>
  </si>
  <si>
    <t>Windle Field Expenses</t>
  </si>
  <si>
    <t>Total Millbury Public School Department</t>
  </si>
  <si>
    <t>Blackstone Valley Regional Vocational H.S.</t>
  </si>
  <si>
    <t>Annual Operating Asessment</t>
  </si>
  <si>
    <t>Debt Excluded Capital Expenses</t>
  </si>
  <si>
    <t>Salaries (elected)</t>
  </si>
  <si>
    <t>Total Blackstone Valley Voc-Tec H.S.</t>
  </si>
  <si>
    <t>TOTAL PUBLIC EDUCATION</t>
  </si>
  <si>
    <t>PUBLIC WORKS</t>
  </si>
  <si>
    <t>Public Works Administration</t>
  </si>
  <si>
    <t>Public Works Maintenance and Operations</t>
  </si>
  <si>
    <t>Highway</t>
  </si>
  <si>
    <t>Snow and Ice Removal</t>
  </si>
  <si>
    <t>Street Lighting</t>
  </si>
  <si>
    <t>Solid Waste Management</t>
  </si>
  <si>
    <t>Cemeteries</t>
  </si>
  <si>
    <t>Municipal Gasoline and Diesel Fuel</t>
  </si>
  <si>
    <t>TOTAL PUBLIC WORKS</t>
  </si>
  <si>
    <t>PUBLIC HEALTH AND HUMAN SERVICES</t>
  </si>
  <si>
    <t>Board of Health</t>
  </si>
  <si>
    <t>Human Services</t>
  </si>
  <si>
    <t>Council-On-Aging</t>
  </si>
  <si>
    <t>Veterans' Services</t>
  </si>
  <si>
    <t>Veterans' Benefits</t>
  </si>
  <si>
    <t>Disability Commission</t>
  </si>
  <si>
    <t>TOTAL PUBLIC HEALTH AND HUMAN SERVICES</t>
  </si>
  <si>
    <t>CULTURE AND RECREATION</t>
  </si>
  <si>
    <t>Public Library</t>
  </si>
  <si>
    <t>Park Commission</t>
  </si>
  <si>
    <t>Asa Waters Mansion</t>
  </si>
  <si>
    <t>Historical Commission</t>
  </si>
  <si>
    <t xml:space="preserve">Memorial Day &amp;Veterans Day Observances </t>
  </si>
  <si>
    <t xml:space="preserve">TOTAL CULTURAL AND RECREATION </t>
  </si>
  <si>
    <t>DEBT SERVICE</t>
  </si>
  <si>
    <t>Long-Term Debt - Principal</t>
  </si>
  <si>
    <t>Long-Term Debt - Interest</t>
  </si>
  <si>
    <t>Short-Term Debt - Interest</t>
  </si>
  <si>
    <t>TOTAL DEBT SERVICE</t>
  </si>
  <si>
    <t>EMPLOYEE BENEFITS</t>
  </si>
  <si>
    <t>Worcester Regional Retirement System Assessment</t>
  </si>
  <si>
    <t>State Retirement System Assessment</t>
  </si>
  <si>
    <t>Workers' Compensation Insurance Expenses</t>
  </si>
  <si>
    <t>Unemployment Insurance Compensation Expenses</t>
  </si>
  <si>
    <t xml:space="preserve">Group Health and HMO Plan Administration Expenses </t>
  </si>
  <si>
    <t>Health Insurance and HMO Expenses - Town</t>
  </si>
  <si>
    <t>Health Insurance and HMO Expenses - School</t>
  </si>
  <si>
    <t>Group Life Insurance Insurance Expenses - Town</t>
  </si>
  <si>
    <t xml:space="preserve">Group Life Insurance Insurance Expenses - School </t>
  </si>
  <si>
    <t>Inpatient Trust Fund</t>
  </si>
  <si>
    <t xml:space="preserve">Medicare Expenses </t>
  </si>
  <si>
    <t xml:space="preserve">TOTAL EMPLOYEE BENEFITS </t>
  </si>
  <si>
    <t xml:space="preserve">GENERAL INSURANCES </t>
  </si>
  <si>
    <t>General and Liability Insurance Expenses</t>
  </si>
  <si>
    <t>TOTAL GENERAL INSURANCES</t>
  </si>
  <si>
    <t>TOTAL GENERAL FUND</t>
  </si>
  <si>
    <t>ENTERPRISE FUND</t>
  </si>
  <si>
    <t>SEWER SYSTEMS OPERATIONS&amp; MAINTENANCE</t>
  </si>
  <si>
    <t>UBWPAD Assessment</t>
  </si>
  <si>
    <t>Sewer Expansion Project Debt Service Assessment</t>
  </si>
  <si>
    <t>Total Sewer Enterprise Fund O &amp; M Costs and Charges</t>
  </si>
  <si>
    <t>TOTAL GENERAL &amp; ENTERPRISE FUNDS</t>
  </si>
  <si>
    <t>FY2013</t>
  </si>
  <si>
    <t>Unrestricted Local Government (lottery, Beano….etc) - Supplemental Bill</t>
  </si>
  <si>
    <t>Agriculture school</t>
  </si>
  <si>
    <t>FY2011</t>
  </si>
  <si>
    <t>Separate Article</t>
  </si>
  <si>
    <t>FY2014</t>
  </si>
  <si>
    <t>Dept Requested</t>
  </si>
  <si>
    <t>Dept Request</t>
  </si>
  <si>
    <t>Manager Recommend</t>
  </si>
  <si>
    <t>Department Requested</t>
  </si>
  <si>
    <t>Millbury Fire Dept - Tower 1</t>
  </si>
  <si>
    <t>Medicaid Article</t>
  </si>
  <si>
    <t>Senior Work off</t>
  </si>
  <si>
    <t>FINCOMM Recommend</t>
  </si>
  <si>
    <t>FY2015</t>
  </si>
  <si>
    <t>ATM Aprroved</t>
  </si>
  <si>
    <t>Initial Request Increase/Decrease</t>
  </si>
  <si>
    <t>Manager's Recommendation Increase/Decrease</t>
  </si>
  <si>
    <t>Intial Requests</t>
  </si>
  <si>
    <t>Roads</t>
  </si>
  <si>
    <t>FY2016</t>
  </si>
  <si>
    <t xml:space="preserve">      *over raise and appropriate on $220,</t>
  </si>
  <si>
    <t>Millbury Fire Dept - SCBA</t>
  </si>
  <si>
    <t>$360,695 Used in FY15 to Reduce the Tax Rate</t>
  </si>
  <si>
    <t>FY 2015 Budget $5,164,341</t>
  </si>
  <si>
    <t>Town Hall HVAC</t>
  </si>
  <si>
    <t>Parks &amp; Fields Maintenance</t>
  </si>
  <si>
    <t>Amount overaised on fire truck</t>
  </si>
  <si>
    <t>Planning and Development</t>
  </si>
  <si>
    <t>Building Commissioner</t>
  </si>
  <si>
    <t>Budget Adjust</t>
  </si>
  <si>
    <t xml:space="preserve">Fiscal 2016 Maximun Allowable Levy </t>
  </si>
  <si>
    <t>Replace fuel tanks</t>
  </si>
  <si>
    <t>A.  FISCAL 2016 A.T.M. APPROPRIATIONS</t>
  </si>
  <si>
    <t xml:space="preserve">1.  Fiscal 2016 Operating Budget </t>
  </si>
  <si>
    <t>Fiscal 2015 Tax Levy Limit</t>
  </si>
  <si>
    <t>Fiscal 2016 Tax Levy Limit</t>
  </si>
  <si>
    <t>Abandoned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</si>
</sst>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23" borderId="7" applyNumberFormat="0" applyFont="0" applyAlignment="0" applyProtection="0"/>
    <xf numFmtId="0" fontId="17" fillId="20" borderId="8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25" fillId="0" borderId="0" xfId="0" applyFont="1" applyBorder="1"/>
    <xf numFmtId="164" fontId="26" fillId="0" borderId="0" xfId="28" applyNumberFormat="1" applyFont="1" applyBorder="1" applyAlignment="1">
      <alignment horizontal="center" wrapText="1"/>
    </xf>
    <xf numFmtId="0" fontId="26" fillId="0" borderId="0" xfId="0" applyFont="1" applyBorder="1" applyAlignment="1"/>
    <xf numFmtId="0" fontId="26" fillId="0" borderId="0" xfId="0" applyFont="1" applyBorder="1" applyAlignment="1">
      <alignment horizontal="center" wrapText="1"/>
    </xf>
    <xf numFmtId="164" fontId="26" fillId="0" borderId="0" xfId="3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left" indent="4"/>
    </xf>
    <xf numFmtId="164" fontId="25" fillId="0" borderId="0" xfId="28" applyNumberFormat="1" applyFont="1" applyBorder="1"/>
    <xf numFmtId="164" fontId="25" fillId="0" borderId="0" xfId="0" applyNumberFormat="1" applyFont="1" applyBorder="1"/>
    <xf numFmtId="0" fontId="26" fillId="0" borderId="0" xfId="0" applyFont="1" applyBorder="1" applyAlignment="1">
      <alignment horizontal="left" indent="2"/>
    </xf>
    <xf numFmtId="0" fontId="25" fillId="0" borderId="0" xfId="0" applyFont="1" applyBorder="1" applyAlignment="1">
      <alignment horizontal="left" indent="3"/>
    </xf>
    <xf numFmtId="0" fontId="26" fillId="0" borderId="0" xfId="0" applyFont="1" applyBorder="1" applyAlignment="1">
      <alignment horizontal="left" indent="3"/>
    </xf>
    <xf numFmtId="0" fontId="26" fillId="0" borderId="0" xfId="0" applyFont="1" applyBorder="1"/>
    <xf numFmtId="164" fontId="26" fillId="0" borderId="0" xfId="28" applyNumberFormat="1" applyFont="1" applyBorder="1"/>
    <xf numFmtId="0" fontId="26" fillId="0" borderId="0" xfId="0" applyFont="1" applyBorder="1" applyAlignment="1">
      <alignment horizontal="left"/>
    </xf>
    <xf numFmtId="164" fontId="25" fillId="0" borderId="0" xfId="28" applyNumberFormat="1" applyFont="1"/>
    <xf numFmtId="0" fontId="26" fillId="0" borderId="0" xfId="0" applyFont="1" applyBorder="1" applyAlignment="1">
      <alignment horizontal="left" indent="4"/>
    </xf>
    <xf numFmtId="164" fontId="26" fillId="0" borderId="0" xfId="28" applyNumberFormat="1" applyFont="1"/>
    <xf numFmtId="43" fontId="26" fillId="0" borderId="0" xfId="0" applyNumberFormat="1" applyFont="1" applyBorder="1"/>
    <xf numFmtId="164" fontId="25" fillId="0" borderId="0" xfId="28" applyNumberFormat="1" applyFont="1" applyBorder="1" applyAlignment="1">
      <alignment horizontal="left"/>
    </xf>
    <xf numFmtId="0" fontId="25" fillId="0" borderId="0" xfId="0" applyFont="1"/>
    <xf numFmtId="164" fontId="25" fillId="0" borderId="0" xfId="0" applyNumberFormat="1" applyFont="1"/>
    <xf numFmtId="10" fontId="25" fillId="0" borderId="0" xfId="44" applyNumberFormat="1" applyFont="1"/>
    <xf numFmtId="0" fontId="27" fillId="0" borderId="0" xfId="0" applyFont="1" applyBorder="1" applyAlignment="1" applyProtection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17" fontId="25" fillId="0" borderId="0" xfId="0" applyNumberFormat="1" applyFont="1" applyBorder="1" applyAlignment="1">
      <alignment horizontal="center"/>
    </xf>
    <xf numFmtId="44" fontId="25" fillId="0" borderId="0" xfId="31" applyFont="1"/>
    <xf numFmtId="43" fontId="25" fillId="0" borderId="0" xfId="0" applyNumberFormat="1" applyFont="1"/>
    <xf numFmtId="0" fontId="26" fillId="0" borderId="0" xfId="0" applyFont="1" applyFill="1" applyAlignment="1">
      <alignment horizontal="left"/>
    </xf>
    <xf numFmtId="0" fontId="25" fillId="0" borderId="0" xfId="0" applyFont="1" applyBorder="1" applyAlignment="1">
      <alignment horizontal="left" indent="7"/>
    </xf>
    <xf numFmtId="164" fontId="25" fillId="0" borderId="0" xfId="28" applyNumberFormat="1" applyFont="1" applyFill="1" applyBorder="1"/>
    <xf numFmtId="0" fontId="26" fillId="0" borderId="0" xfId="0" applyFont="1" applyBorder="1" applyAlignment="1">
      <alignment horizontal="left" indent="7"/>
    </xf>
    <xf numFmtId="0" fontId="25" fillId="0" borderId="0" xfId="0" applyFont="1" applyFill="1" applyBorder="1"/>
    <xf numFmtId="0" fontId="25" fillId="0" borderId="0" xfId="0" applyFont="1" applyBorder="1" applyAlignment="1">
      <alignment horizontal="left" indent="2"/>
    </xf>
    <xf numFmtId="10" fontId="25" fillId="0" borderId="0" xfId="44" applyNumberFormat="1" applyFont="1" applyBorder="1"/>
    <xf numFmtId="164" fontId="25" fillId="0" borderId="0" xfId="49" applyNumberFormat="1" applyFont="1" applyBorder="1" applyAlignment="1">
      <alignment horizontal="right"/>
    </xf>
    <xf numFmtId="164" fontId="27" fillId="0" borderId="0" xfId="49" applyNumberFormat="1" applyFont="1" applyBorder="1" applyAlignment="1" applyProtection="1">
      <alignment horizontal="center"/>
    </xf>
    <xf numFmtId="164" fontId="27" fillId="0" borderId="0" xfId="49" applyNumberFormat="1" applyFont="1" applyFill="1" applyBorder="1" applyAlignment="1" applyProtection="1">
      <alignment horizontal="center"/>
    </xf>
    <xf numFmtId="43" fontId="27" fillId="0" borderId="0" xfId="49" applyNumberFormat="1" applyFont="1" applyFill="1" applyBorder="1" applyAlignment="1" applyProtection="1">
      <alignment horizontal="center"/>
    </xf>
    <xf numFmtId="43" fontId="27" fillId="0" borderId="0" xfId="49" applyNumberFormat="1" applyFont="1" applyBorder="1" applyAlignment="1" applyProtection="1">
      <alignment horizontal="center"/>
    </xf>
    <xf numFmtId="9" fontId="25" fillId="0" borderId="0" xfId="50" applyFont="1"/>
    <xf numFmtId="164" fontId="26" fillId="0" borderId="11" xfId="49" applyNumberFormat="1" applyFont="1" applyBorder="1" applyAlignment="1">
      <alignment horizontal="center"/>
    </xf>
    <xf numFmtId="164" fontId="26" fillId="0" borderId="11" xfId="49" applyNumberFormat="1" applyFont="1" applyFill="1" applyBorder="1" applyAlignment="1">
      <alignment horizontal="center"/>
    </xf>
    <xf numFmtId="43" fontId="26" fillId="0" borderId="11" xfId="49" applyNumberFormat="1" applyFont="1" applyFill="1" applyBorder="1" applyAlignment="1">
      <alignment horizontal="center"/>
    </xf>
    <xf numFmtId="164" fontId="26" fillId="0" borderId="0" xfId="49" applyNumberFormat="1" applyFont="1" applyBorder="1" applyAlignment="1">
      <alignment horizontal="center"/>
    </xf>
    <xf numFmtId="164" fontId="28" fillId="0" borderId="0" xfId="49" applyNumberFormat="1" applyFont="1"/>
    <xf numFmtId="164" fontId="25" fillId="0" borderId="0" xfId="49" applyNumberFormat="1" applyFont="1" applyBorder="1" applyAlignment="1">
      <alignment horizontal="center"/>
    </xf>
    <xf numFmtId="164" fontId="26" fillId="0" borderId="0" xfId="49" applyNumberFormat="1" applyFont="1" applyFill="1" applyBorder="1" applyAlignment="1">
      <alignment horizontal="center"/>
    </xf>
    <xf numFmtId="43" fontId="26" fillId="0" borderId="0" xfId="49" applyNumberFormat="1" applyFont="1" applyFill="1" applyBorder="1" applyAlignment="1">
      <alignment horizontal="center"/>
    </xf>
    <xf numFmtId="43" fontId="26" fillId="0" borderId="0" xfId="49" applyNumberFormat="1" applyFont="1" applyBorder="1" applyAlignment="1">
      <alignment horizontal="center"/>
    </xf>
    <xf numFmtId="164" fontId="28" fillId="0" borderId="10" xfId="49" applyNumberFormat="1" applyFont="1" applyBorder="1"/>
    <xf numFmtId="43" fontId="28" fillId="0" borderId="10" xfId="49" applyNumberFormat="1" applyFont="1" applyBorder="1"/>
    <xf numFmtId="43" fontId="25" fillId="0" borderId="0" xfId="49" applyNumberFormat="1" applyFont="1" applyBorder="1"/>
    <xf numFmtId="164" fontId="25" fillId="0" borderId="0" xfId="49" applyNumberFormat="1" applyFont="1" applyBorder="1"/>
    <xf numFmtId="164" fontId="25" fillId="0" borderId="0" xfId="49" applyNumberFormat="1" applyFont="1" applyBorder="1" applyAlignment="1">
      <alignment horizontal="left"/>
    </xf>
    <xf numFmtId="164" fontId="25" fillId="0" borderId="0" xfId="49" applyNumberFormat="1" applyFont="1" applyFill="1" applyBorder="1" applyAlignment="1">
      <alignment horizontal="left"/>
    </xf>
    <xf numFmtId="43" fontId="25" fillId="0" borderId="0" xfId="49" applyNumberFormat="1" applyFont="1" applyBorder="1" applyAlignment="1">
      <alignment horizontal="left"/>
    </xf>
    <xf numFmtId="43" fontId="26" fillId="0" borderId="0" xfId="49" applyNumberFormat="1" applyFont="1" applyBorder="1"/>
    <xf numFmtId="10" fontId="26" fillId="0" borderId="0" xfId="50" applyNumberFormat="1" applyFont="1" applyFill="1" applyBorder="1"/>
    <xf numFmtId="164" fontId="25" fillId="0" borderId="0" xfId="49" applyNumberFormat="1" applyFont="1" applyFill="1" applyBorder="1"/>
    <xf numFmtId="43" fontId="25" fillId="0" borderId="0" xfId="49" applyNumberFormat="1" applyFont="1" applyFill="1" applyBorder="1"/>
    <xf numFmtId="164" fontId="25" fillId="0" borderId="0" xfId="49" applyNumberFormat="1" applyFont="1"/>
    <xf numFmtId="43" fontId="28" fillId="0" borderId="0" xfId="49" applyNumberFormat="1" applyFont="1"/>
    <xf numFmtId="43" fontId="25" fillId="0" borderId="0" xfId="49" applyNumberFormat="1" applyFont="1" applyBorder="1" applyAlignment="1">
      <alignment horizontal="right"/>
    </xf>
    <xf numFmtId="164" fontId="25" fillId="0" borderId="10" xfId="49" applyNumberFormat="1" applyFont="1" applyBorder="1"/>
    <xf numFmtId="164" fontId="25" fillId="0" borderId="10" xfId="49" applyNumberFormat="1" applyFont="1" applyFill="1" applyBorder="1"/>
    <xf numFmtId="43" fontId="25" fillId="0" borderId="10" xfId="49" applyNumberFormat="1" applyFont="1" applyFill="1" applyBorder="1"/>
    <xf numFmtId="164" fontId="25" fillId="0" borderId="10" xfId="49" applyNumberFormat="1" applyFont="1" applyBorder="1" applyAlignment="1">
      <alignment horizontal="right"/>
    </xf>
    <xf numFmtId="164" fontId="25" fillId="0" borderId="0" xfId="49" applyNumberFormat="1" applyFont="1" applyFill="1"/>
    <xf numFmtId="164" fontId="25" fillId="0" borderId="0" xfId="49" applyNumberFormat="1" applyFont="1" applyFill="1" applyBorder="1" applyAlignment="1">
      <alignment horizontal="right"/>
    </xf>
    <xf numFmtId="9" fontId="25" fillId="0" borderId="0" xfId="50" applyFont="1" applyFill="1"/>
    <xf numFmtId="164" fontId="28" fillId="0" borderId="0" xfId="49" applyNumberFormat="1" applyFont="1" applyFill="1"/>
    <xf numFmtId="43" fontId="28" fillId="0" borderId="0" xfId="49" applyNumberFormat="1" applyFont="1" applyFill="1"/>
    <xf numFmtId="164" fontId="28" fillId="0" borderId="10" xfId="49" applyNumberFormat="1" applyFont="1" applyFill="1" applyBorder="1"/>
    <xf numFmtId="164" fontId="25" fillId="0" borderId="10" xfId="49" applyNumberFormat="1" applyFont="1" applyFill="1" applyBorder="1" applyAlignment="1">
      <alignment horizontal="right"/>
    </xf>
    <xf numFmtId="43" fontId="25" fillId="0" borderId="0" xfId="49" applyNumberFormat="1" applyFont="1" applyFill="1" applyBorder="1" applyAlignment="1">
      <alignment horizontal="left"/>
    </xf>
    <xf numFmtId="43" fontId="25" fillId="0" borderId="0" xfId="49" applyNumberFormat="1" applyFont="1" applyFill="1" applyBorder="1" applyAlignment="1">
      <alignment horizontal="right"/>
    </xf>
    <xf numFmtId="164" fontId="28" fillId="0" borderId="0" xfId="49" applyNumberFormat="1" applyFont="1" applyAlignment="1">
      <alignment horizontal="right"/>
    </xf>
    <xf numFmtId="43" fontId="25" fillId="0" borderId="0" xfId="49" applyNumberFormat="1" applyFont="1" applyFill="1"/>
    <xf numFmtId="164" fontId="26" fillId="0" borderId="0" xfId="49" applyNumberFormat="1" applyFont="1" applyBorder="1"/>
    <xf numFmtId="164" fontId="26" fillId="0" borderId="0" xfId="49" applyNumberFormat="1" applyFont="1" applyFill="1" applyBorder="1"/>
    <xf numFmtId="164" fontId="26" fillId="0" borderId="0" xfId="49" applyNumberFormat="1" applyFont="1" applyBorder="1" applyAlignment="1">
      <alignment horizontal="right"/>
    </xf>
    <xf numFmtId="164" fontId="27" fillId="0" borderId="0" xfId="49" applyNumberFormat="1" applyFont="1"/>
    <xf numFmtId="164" fontId="25" fillId="0" borderId="0" xfId="50" applyNumberFormat="1" applyFont="1"/>
    <xf numFmtId="164" fontId="28" fillId="0" borderId="0" xfId="49" applyNumberFormat="1" applyFont="1" applyBorder="1"/>
    <xf numFmtId="164" fontId="25" fillId="0" borderId="0" xfId="49" applyNumberFormat="1" applyFont="1" applyAlignment="1">
      <alignment horizontal="right"/>
    </xf>
    <xf numFmtId="43" fontId="25" fillId="0" borderId="0" xfId="49" applyNumberFormat="1" applyFont="1"/>
    <xf numFmtId="43" fontId="26" fillId="0" borderId="0" xfId="49" applyNumberFormat="1" applyFont="1" applyFill="1" applyBorder="1"/>
    <xf numFmtId="164" fontId="25" fillId="0" borderId="0" xfId="50" applyNumberFormat="1" applyFont="1" applyBorder="1" applyAlignment="1">
      <alignment horizontal="right"/>
    </xf>
    <xf numFmtId="164" fontId="25" fillId="24" borderId="0" xfId="49" applyNumberFormat="1" applyFont="1" applyFill="1"/>
    <xf numFmtId="43" fontId="25" fillId="24" borderId="0" xfId="49" applyNumberFormat="1" applyFont="1" applyFill="1" applyAlignment="1">
      <alignment horizontal="right"/>
    </xf>
    <xf numFmtId="164" fontId="25" fillId="24" borderId="0" xfId="49" applyNumberFormat="1" applyFont="1" applyFill="1" applyBorder="1"/>
    <xf numFmtId="164" fontId="25" fillId="24" borderId="0" xfId="49" applyNumberFormat="1" applyFont="1" applyFill="1" applyBorder="1" applyAlignment="1">
      <alignment horizontal="right"/>
    </xf>
    <xf numFmtId="43" fontId="25" fillId="24" borderId="0" xfId="49" applyNumberFormat="1" applyFont="1" applyFill="1" applyBorder="1" applyAlignment="1">
      <alignment horizontal="right"/>
    </xf>
    <xf numFmtId="164" fontId="25" fillId="24" borderId="10" xfId="49" applyNumberFormat="1" applyFont="1" applyFill="1" applyBorder="1" applyAlignment="1">
      <alignment horizontal="right"/>
    </xf>
    <xf numFmtId="164" fontId="25" fillId="24" borderId="10" xfId="49" applyNumberFormat="1" applyFont="1" applyFill="1" applyBorder="1"/>
    <xf numFmtId="164" fontId="27" fillId="0" borderId="0" xfId="49" applyNumberFormat="1" applyFont="1" applyBorder="1"/>
    <xf numFmtId="164" fontId="26" fillId="0" borderId="0" xfId="49" applyNumberFormat="1" applyFont="1" applyBorder="1" applyAlignment="1">
      <alignment horizontal="left"/>
    </xf>
    <xf numFmtId="164" fontId="26" fillId="0" borderId="0" xfId="49" applyNumberFormat="1" applyFont="1" applyFill="1" applyBorder="1" applyAlignment="1">
      <alignment horizontal="left"/>
    </xf>
    <xf numFmtId="43" fontId="26" fillId="0" borderId="0" xfId="49" applyNumberFormat="1" applyFont="1" applyBorder="1" applyAlignment="1">
      <alignment horizontal="left"/>
    </xf>
    <xf numFmtId="43" fontId="26" fillId="0" borderId="0" xfId="49" applyNumberFormat="1" applyFont="1" applyFill="1" applyBorder="1" applyAlignment="1">
      <alignment horizontal="left"/>
    </xf>
    <xf numFmtId="164" fontId="25" fillId="0" borderId="0" xfId="49" applyNumberFormat="1" applyFont="1" applyBorder="1" applyAlignment="1"/>
    <xf numFmtId="43" fontId="25" fillId="0" borderId="0" xfId="49" applyNumberFormat="1" applyFont="1" applyBorder="1" applyAlignment="1"/>
    <xf numFmtId="43" fontId="28" fillId="0" borderId="0" xfId="49" applyNumberFormat="1" applyFont="1" applyBorder="1"/>
    <xf numFmtId="164" fontId="28" fillId="0" borderId="0" xfId="49" applyNumberFormat="1" applyFont="1" applyFill="1" applyBorder="1"/>
    <xf numFmtId="164" fontId="26" fillId="0" borderId="0" xfId="49" applyNumberFormat="1" applyFont="1"/>
    <xf numFmtId="164" fontId="25" fillId="0" borderId="0" xfId="49" applyNumberFormat="1" applyFont="1" applyFill="1" applyAlignment="1">
      <alignment horizontal="right"/>
    </xf>
    <xf numFmtId="43" fontId="25" fillId="0" borderId="0" xfId="49" applyNumberFormat="1" applyFont="1" applyFill="1" applyAlignment="1">
      <alignment horizontal="right"/>
    </xf>
    <xf numFmtId="43" fontId="25" fillId="0" borderId="0" xfId="50" applyNumberFormat="1" applyFont="1" applyBorder="1" applyAlignment="1">
      <alignment horizontal="left"/>
    </xf>
    <xf numFmtId="164" fontId="25" fillId="0" borderId="12" xfId="49" applyNumberFormat="1" applyFont="1" applyBorder="1" applyAlignment="1">
      <alignment horizontal="right"/>
    </xf>
    <xf numFmtId="164" fontId="25" fillId="0" borderId="12" xfId="49" applyNumberFormat="1" applyFont="1" applyBorder="1" applyAlignment="1">
      <alignment horizontal="left"/>
    </xf>
    <xf numFmtId="10" fontId="25" fillId="0" borderId="0" xfId="50" applyNumberFormat="1" applyFont="1"/>
    <xf numFmtId="164" fontId="26" fillId="0" borderId="0" xfId="50" applyNumberFormat="1" applyFont="1" applyBorder="1" applyAlignment="1">
      <alignment horizontal="right"/>
    </xf>
    <xf numFmtId="164" fontId="25" fillId="0" borderId="0" xfId="49" applyNumberFormat="1" applyFont="1" applyBorder="1" applyAlignment="1" applyProtection="1">
      <alignment horizontal="right"/>
      <protection hidden="1"/>
    </xf>
    <xf numFmtId="43" fontId="25" fillId="0" borderId="0" xfId="49" applyNumberFormat="1" applyFont="1" applyBorder="1" applyAlignment="1" applyProtection="1">
      <alignment horizontal="right"/>
      <protection hidden="1"/>
    </xf>
    <xf numFmtId="164" fontId="25" fillId="0" borderId="0" xfId="49" applyNumberFormat="1" applyFont="1" applyBorder="1" applyProtection="1">
      <protection hidden="1"/>
    </xf>
    <xf numFmtId="43" fontId="25" fillId="0" borderId="0" xfId="49" applyNumberFormat="1" applyFont="1" applyBorder="1" applyProtection="1">
      <protection hidden="1"/>
    </xf>
    <xf numFmtId="9" fontId="25" fillId="0" borderId="0" xfId="50" applyFont="1" applyBorder="1"/>
    <xf numFmtId="164" fontId="26" fillId="0" borderId="0" xfId="49" applyNumberFormat="1" applyFont="1" applyFill="1" applyAlignment="1">
      <alignment horizontal="left"/>
    </xf>
    <xf numFmtId="43" fontId="26" fillId="0" borderId="0" xfId="49" applyNumberFormat="1" applyFont="1" applyFill="1" applyAlignment="1">
      <alignment horizontal="left"/>
    </xf>
    <xf numFmtId="164" fontId="25" fillId="0" borderId="0" xfId="49" applyNumberFormat="1" applyFont="1" applyFill="1" applyAlignment="1">
      <alignment horizontal="left"/>
    </xf>
    <xf numFmtId="43" fontId="2" fillId="0" borderId="0" xfId="51" applyNumberFormat="1" applyFont="1" applyFill="1"/>
    <xf numFmtId="166" fontId="26" fillId="0" borderId="0" xfId="44" applyNumberFormat="1" applyFont="1" applyBorder="1"/>
    <xf numFmtId="44" fontId="2" fillId="0" borderId="0" xfId="31" applyFont="1" applyBorder="1" applyAlignment="1">
      <alignment horizontal="right"/>
    </xf>
    <xf numFmtId="44" fontId="2" fillId="0" borderId="10" xfId="31" applyFont="1" applyBorder="1" applyAlignment="1">
      <alignment horizontal="right"/>
    </xf>
    <xf numFmtId="43" fontId="26" fillId="0" borderId="0" xfId="49" applyNumberFormat="1" applyFont="1" applyBorder="1" applyAlignment="1">
      <alignment horizontal="center" wrapText="1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53"/>
    <cellStyle name="Comma 3" xfId="30"/>
    <cellStyle name="Comma 3 2" xfId="49"/>
    <cellStyle name="Comma 4" xfId="52"/>
    <cellStyle name="Currency" xfId="31" builtinId="4"/>
    <cellStyle name="Currency 2" xfId="54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55"/>
    <cellStyle name="Normal 3" xfId="51"/>
    <cellStyle name="Note" xfId="42" builtinId="10" customBuiltin="1"/>
    <cellStyle name="Output" xfId="43" builtinId="21" customBuiltin="1"/>
    <cellStyle name="Percent" xfId="44" builtinId="5"/>
    <cellStyle name="Percent 2" xfId="45"/>
    <cellStyle name="Percent 2 2" xfId="50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14%20-%20Moderator%20FY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55%20-%20Town%20Hall%20Computer%20Ops%20FY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61-Town%20Clerk%20FY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62%20-%20Elections%20and%20Registrars%20FY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71%20-%20Conservation%20Commission%20FY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75%20-%20Planning%20Board%20FY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77%20-%20Town%20Planner%20FY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92%20-%20Municipal%20Office%20Building%20FY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95%20-%20Town%20Reports%20FY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10%20-%20Police%20Department%20FY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20%20-%20Fire%20Department%20FY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22%20-%20Board%20of%20Selectmen%20FY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24%20-%20Hydrant%20Service%20FY1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30%20-%20Ambulance%20Service%20FY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41%20-%20Building%20Inspector%20FY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43%20-%20Plumbing%20and%20Gas%20Inspector%20FY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45%20-%20Electrical%20Inspector%20FY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91%20-%20Emergency%20Management%20FY1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92%20-%20Animal%20Control%20FY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294%20-%20Tree%20Warden%20FY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00%20-%20DPW%20Administration%20FY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10%20-%20DPW%20Maintenance%20and%20Operations%20FY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23%20-%20Town%20Manager%20FY1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20%20-%20Highway%20Department%20FY1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23%20-%20Snow%20and%20Ice%20FY1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24%20-%20Street%20Lights%20FY1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30%20Transfer%20Station%20FY1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90%20-%20Parks%20Ops%20and%20Maintenance%20FY1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91%20-%20Cemetery%20Department%20FY1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95%20-%20%20Gasoline%20and%20Diesel%20FY1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510%20-%20Board%20of%20Health%20FY1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541%20-%20Council%20on%20Aging%20FY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543%20-%20Veterans%20Services%20FY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31%20-%20Finance%20Committee%20FY1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549%20-%20Disability%20Commission%20FY1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610%20-Library%20FY1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630%20-%20%20Park%20Commission%20FY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670%20-%20ASA%20Waters%20FY1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691%20-%20Historical%20Commission%20FY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692%20-%20Memorial%20and%20Veterans%20Day%20FY1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710%20-%20Retirement%20of%20Debt%20FY1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900%20-%20Employee%20Benefits%20FY1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440%20-%20Sewer%20Department%20FY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35%20-%20Finance%20Director%20FY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36%20-%20Town%20Audit%20FY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41%20-%20Assessors%20FY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46%20-%20Collector%20and%20Treasurer%20FY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2016/Dept%20Requests%20-%20Manager%20Recommendations/Dept%20151%20-%20Town%20Counsel%20FY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</sheetNames>
    <sheetDataSet>
      <sheetData sheetId="0"/>
      <sheetData sheetId="1"/>
      <sheetData sheetId="2"/>
      <sheetData sheetId="3">
        <row r="12">
          <cell r="B12">
            <v>200</v>
          </cell>
          <cell r="C12">
            <v>200</v>
          </cell>
          <cell r="D12">
            <v>200</v>
          </cell>
          <cell r="E12">
            <v>200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  <sheetName val="Supplies"/>
      <sheetName val="Other Expenses"/>
      <sheetName val="Capital Outlay"/>
    </sheetNames>
    <sheetDataSet>
      <sheetData sheetId="0"/>
      <sheetData sheetId="1"/>
      <sheetData sheetId="2"/>
      <sheetData sheetId="3">
        <row r="15">
          <cell r="C15">
            <v>102233.69999999998</v>
          </cell>
          <cell r="D15">
            <v>112819</v>
          </cell>
          <cell r="E15">
            <v>109390</v>
          </cell>
          <cell r="F15">
            <v>109390</v>
          </cell>
        </row>
        <row r="18">
          <cell r="C18">
            <v>1791.94</v>
          </cell>
          <cell r="D18">
            <v>1500</v>
          </cell>
          <cell r="E18">
            <v>1500</v>
          </cell>
          <cell r="F18">
            <v>1500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7">
          <cell r="C27">
            <v>11574.03</v>
          </cell>
          <cell r="D27">
            <v>14500</v>
          </cell>
          <cell r="E27">
            <v>14500</v>
          </cell>
          <cell r="F27">
            <v>14500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</sheetNames>
    <sheetDataSet>
      <sheetData sheetId="0"/>
      <sheetData sheetId="1"/>
      <sheetData sheetId="2"/>
      <sheetData sheetId="3">
        <row r="12">
          <cell r="C12">
            <v>114081.55</v>
          </cell>
          <cell r="D12">
            <v>114133</v>
          </cell>
          <cell r="E12">
            <v>153415</v>
          </cell>
          <cell r="F12">
            <v>116108</v>
          </cell>
        </row>
        <row r="15">
          <cell r="C15">
            <v>11644.9</v>
          </cell>
          <cell r="D15">
            <v>14499</v>
          </cell>
          <cell r="E15">
            <v>15028</v>
          </cell>
          <cell r="F15">
            <v>15028</v>
          </cell>
        </row>
        <row r="18">
          <cell r="C18">
            <v>3486.6</v>
          </cell>
          <cell r="D18">
            <v>4777</v>
          </cell>
          <cell r="E18">
            <v>4777</v>
          </cell>
          <cell r="F18">
            <v>4777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4">
          <cell r="C24">
            <v>18037</v>
          </cell>
          <cell r="D24">
            <v>19860</v>
          </cell>
          <cell r="E24">
            <v>20730</v>
          </cell>
          <cell r="F24">
            <v>20730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T-PT-OT"/>
      <sheetName val="Purchase of Services"/>
      <sheetName val="Supplies"/>
      <sheetName val="Other Expenses"/>
      <sheetName val="Capital Outlay"/>
    </sheetNames>
    <sheetDataSet>
      <sheetData sheetId="0"/>
      <sheetData sheetId="1"/>
      <sheetData sheetId="2"/>
      <sheetData sheetId="3">
        <row r="12">
          <cell r="C12">
            <v>4389.1000000000004</v>
          </cell>
          <cell r="D12">
            <v>14173</v>
          </cell>
          <cell r="E12">
            <v>14450</v>
          </cell>
          <cell r="F12">
            <v>9634</v>
          </cell>
          <cell r="G12">
            <v>0</v>
          </cell>
        </row>
        <row r="15">
          <cell r="C15">
            <v>1566.46</v>
          </cell>
          <cell r="D15">
            <v>6356</v>
          </cell>
          <cell r="E15">
            <v>6500</v>
          </cell>
          <cell r="F15">
            <v>4238</v>
          </cell>
        </row>
        <row r="18">
          <cell r="C18">
            <v>362.37</v>
          </cell>
          <cell r="D18">
            <v>400</v>
          </cell>
          <cell r="E18">
            <v>400</v>
          </cell>
          <cell r="F18">
            <v>400</v>
          </cell>
        </row>
        <row r="24">
          <cell r="C24">
            <v>7769.58</v>
          </cell>
          <cell r="D24">
            <v>10700</v>
          </cell>
          <cell r="E24">
            <v>12080</v>
          </cell>
          <cell r="F24">
            <v>9580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T-PT-OT"/>
      <sheetName val="Fringe Benefits"/>
      <sheetName val="Supplies"/>
      <sheetName val="Other Expenses"/>
      <sheetName val="Sheet1"/>
      <sheetName val="#cover"/>
    </sheetNames>
    <sheetDataSet>
      <sheetData sheetId="0"/>
      <sheetData sheetId="1"/>
      <sheetData sheetId="2"/>
      <sheetData sheetId="3">
        <row r="12">
          <cell r="B12">
            <v>27966.71</v>
          </cell>
          <cell r="D12">
            <v>0</v>
          </cell>
          <cell r="E12">
            <v>0</v>
          </cell>
        </row>
        <row r="15">
          <cell r="B15">
            <v>0</v>
          </cell>
          <cell r="D15">
            <v>0</v>
          </cell>
          <cell r="E15">
            <v>0</v>
          </cell>
        </row>
        <row r="18">
          <cell r="B18">
            <v>363.22</v>
          </cell>
          <cell r="D18">
            <v>0</v>
          </cell>
          <cell r="E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4">
          <cell r="B24">
            <v>861.72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T-PT-OT"/>
      <sheetName val="Fringe Benefits"/>
      <sheetName val="Supplies"/>
      <sheetName val="Other Expenses"/>
      <sheetName val="Dept 175 - Planning Board FY16"/>
    </sheetNames>
    <sheetDataSet>
      <sheetData sheetId="0"/>
      <sheetData sheetId="1"/>
      <sheetData sheetId="2"/>
      <sheetData sheetId="3">
        <row r="12">
          <cell r="E12">
            <v>0</v>
          </cell>
          <cell r="F12">
            <v>0</v>
          </cell>
        </row>
        <row r="15">
          <cell r="E15">
            <v>0</v>
          </cell>
          <cell r="F15">
            <v>0</v>
          </cell>
        </row>
        <row r="18">
          <cell r="E18">
            <v>0</v>
          </cell>
          <cell r="F18">
            <v>0</v>
          </cell>
        </row>
        <row r="21">
          <cell r="E21">
            <v>0</v>
          </cell>
          <cell r="F21">
            <v>0</v>
          </cell>
        </row>
        <row r="24">
          <cell r="E24">
            <v>0</v>
          </cell>
          <cell r="F24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30">
          <cell r="E30">
            <v>0</v>
          </cell>
          <cell r="F30">
            <v>0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Other Expenses (2)"/>
      <sheetName val="Cover"/>
      <sheetName val="Admin-Elected"/>
      <sheetName val="FT-PT-OT"/>
      <sheetName val="Fringe Benefits"/>
      <sheetName val="Supplies"/>
      <sheetName val="Other Expenses"/>
      <sheetName val="Capital Outlay"/>
    </sheetNames>
    <sheetDataSet>
      <sheetData sheetId="0"/>
      <sheetData sheetId="1"/>
      <sheetData sheetId="2"/>
      <sheetData sheetId="3"/>
      <sheetData sheetId="4">
        <row r="12">
          <cell r="C12">
            <v>129377.31000000001</v>
          </cell>
          <cell r="D12">
            <v>131673</v>
          </cell>
          <cell r="E12">
            <v>135094.48000000001</v>
          </cell>
          <cell r="F12">
            <v>139730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8">
          <cell r="C18">
            <v>0</v>
          </cell>
          <cell r="D18">
            <v>1375</v>
          </cell>
          <cell r="E18">
            <v>2950</v>
          </cell>
          <cell r="F18">
            <v>2800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4">
          <cell r="C24">
            <v>3392.19</v>
          </cell>
          <cell r="D24">
            <v>4050</v>
          </cell>
          <cell r="E24">
            <v>10174</v>
          </cell>
          <cell r="F24">
            <v>10174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T-PT-OT"/>
      <sheetName val="Fringe Benefits"/>
      <sheetName val="Purchase of Services"/>
      <sheetName val="Supplies"/>
    </sheetNames>
    <sheetDataSet>
      <sheetData sheetId="0"/>
      <sheetData sheetId="1"/>
      <sheetData sheetId="2"/>
      <sheetData sheetId="3">
        <row r="12">
          <cell r="C12">
            <v>41119.259999999995</v>
          </cell>
          <cell r="D12">
            <v>46630</v>
          </cell>
          <cell r="E12">
            <v>47079</v>
          </cell>
          <cell r="F12">
            <v>47079</v>
          </cell>
        </row>
        <row r="15">
          <cell r="C15">
            <v>80674.340000000011</v>
          </cell>
          <cell r="D15">
            <v>79800</v>
          </cell>
          <cell r="E15">
            <v>79800</v>
          </cell>
          <cell r="F15">
            <v>76800</v>
          </cell>
        </row>
        <row r="18">
          <cell r="C18">
            <v>9881.67</v>
          </cell>
          <cell r="D18">
            <v>8600</v>
          </cell>
          <cell r="E18">
            <v>8600</v>
          </cell>
          <cell r="F18">
            <v>8600</v>
          </cell>
        </row>
        <row r="21">
          <cell r="C21">
            <v>0</v>
          </cell>
          <cell r="D21">
            <v>0</v>
          </cell>
        </row>
        <row r="24">
          <cell r="C24">
            <v>0</v>
          </cell>
          <cell r="D2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</sheetNames>
    <sheetDataSet>
      <sheetData sheetId="0"/>
      <sheetData sheetId="1"/>
      <sheetData sheetId="2"/>
      <sheetData sheetId="3">
        <row r="15">
          <cell r="C15">
            <v>2317.21</v>
          </cell>
          <cell r="D15">
            <v>2600</v>
          </cell>
          <cell r="E15">
            <v>2700</v>
          </cell>
          <cell r="F15">
            <v>2700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4">
          <cell r="C24">
            <v>0</v>
          </cell>
          <cell r="D24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  <sheetName val="Capital Outlay"/>
    </sheetNames>
    <sheetDataSet>
      <sheetData sheetId="0"/>
      <sheetData sheetId="1"/>
      <sheetData sheetId="2"/>
      <sheetData sheetId="3">
        <row r="12">
          <cell r="B12">
            <v>2020278.76</v>
          </cell>
          <cell r="C12">
            <v>2134063</v>
          </cell>
          <cell r="D12">
            <v>2343966</v>
          </cell>
          <cell r="E12">
            <v>2237193</v>
          </cell>
        </row>
        <row r="15">
          <cell r="B15">
            <v>48919.26</v>
          </cell>
          <cell r="C15">
            <v>31835</v>
          </cell>
          <cell r="D15">
            <v>36735</v>
          </cell>
          <cell r="E15">
            <v>34835</v>
          </cell>
        </row>
        <row r="18">
          <cell r="B18">
            <v>43118.86</v>
          </cell>
          <cell r="C18">
            <v>37900</v>
          </cell>
          <cell r="D18">
            <v>47956</v>
          </cell>
          <cell r="E18">
            <v>37900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11376.73</v>
          </cell>
          <cell r="C24">
            <v>12350</v>
          </cell>
          <cell r="D24">
            <v>20940</v>
          </cell>
          <cell r="E24">
            <v>13550</v>
          </cell>
        </row>
        <row r="27">
          <cell r="B27">
            <v>59938.8</v>
          </cell>
          <cell r="C27">
            <v>40251</v>
          </cell>
          <cell r="D27">
            <v>144421</v>
          </cell>
          <cell r="E27">
            <v>39776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  <sheetName val="Capital Outlay"/>
    </sheetNames>
    <sheetDataSet>
      <sheetData sheetId="0"/>
      <sheetData sheetId="1"/>
      <sheetData sheetId="2"/>
      <sheetData sheetId="3">
        <row r="12">
          <cell r="B12">
            <v>327946.84999999998</v>
          </cell>
          <cell r="C12">
            <v>345729</v>
          </cell>
          <cell r="D12">
            <v>355808</v>
          </cell>
          <cell r="E12">
            <v>349089</v>
          </cell>
        </row>
        <row r="15">
          <cell r="B15">
            <v>25666.92</v>
          </cell>
          <cell r="C15">
            <v>30050</v>
          </cell>
          <cell r="D15">
            <v>30050</v>
          </cell>
          <cell r="E15">
            <v>27050</v>
          </cell>
        </row>
        <row r="18">
          <cell r="B18">
            <v>55053.86</v>
          </cell>
          <cell r="C18">
            <v>85000</v>
          </cell>
          <cell r="D18">
            <v>85000</v>
          </cell>
          <cell r="E18">
            <v>75000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15547.92</v>
          </cell>
          <cell r="C24">
            <v>19400</v>
          </cell>
          <cell r="D24">
            <v>19400</v>
          </cell>
          <cell r="E24">
            <v>19400</v>
          </cell>
        </row>
        <row r="27">
          <cell r="B27">
            <v>18000</v>
          </cell>
          <cell r="C27">
            <v>17000</v>
          </cell>
          <cell r="D27">
            <v>118000</v>
          </cell>
          <cell r="E27">
            <v>21500</v>
          </cell>
        </row>
        <row r="30"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Purchase of Services"/>
      <sheetName val="Supplies"/>
    </sheetNames>
    <sheetDataSet>
      <sheetData sheetId="0"/>
      <sheetData sheetId="1"/>
      <sheetData sheetId="2"/>
      <sheetData sheetId="3">
        <row r="12">
          <cell r="B12">
            <v>16800</v>
          </cell>
          <cell r="C12">
            <v>16800</v>
          </cell>
          <cell r="D12">
            <v>16800</v>
          </cell>
          <cell r="E12">
            <v>16800</v>
          </cell>
        </row>
        <row r="15">
          <cell r="D15">
            <v>1000</v>
          </cell>
          <cell r="E15">
            <v>1000</v>
          </cell>
        </row>
        <row r="18">
          <cell r="D18">
            <v>250</v>
          </cell>
          <cell r="E18">
            <v>250</v>
          </cell>
        </row>
        <row r="21">
          <cell r="D21">
            <v>0</v>
          </cell>
          <cell r="E21">
            <v>0</v>
          </cell>
        </row>
        <row r="24"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</sheetData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</sheetNames>
    <sheetDataSet>
      <sheetData sheetId="0"/>
      <sheetData sheetId="1"/>
      <sheetData sheetId="2"/>
      <sheetData sheetId="3">
        <row r="15">
          <cell r="B15">
            <v>191348.49</v>
          </cell>
          <cell r="C15">
            <v>192000</v>
          </cell>
          <cell r="D15">
            <v>192000</v>
          </cell>
          <cell r="E15">
            <v>189000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</sheetNames>
    <sheetDataSet>
      <sheetData sheetId="0"/>
      <sheetData sheetId="1"/>
      <sheetData sheetId="2"/>
      <sheetData sheetId="3">
        <row r="15">
          <cell r="B15">
            <v>77828</v>
          </cell>
          <cell r="C15">
            <v>60000</v>
          </cell>
          <cell r="D15">
            <v>60000</v>
          </cell>
          <cell r="E15">
            <v>60000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  <sheetName val="Sheet1"/>
    </sheetNames>
    <sheetDataSet>
      <sheetData sheetId="0"/>
      <sheetData sheetId="1"/>
      <sheetData sheetId="2"/>
      <sheetData sheetId="3">
        <row r="12">
          <cell r="B12">
            <v>0</v>
          </cell>
          <cell r="C12">
            <v>101456</v>
          </cell>
          <cell r="D12">
            <v>100259</v>
          </cell>
          <cell r="E12">
            <v>100263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8">
          <cell r="C18">
            <v>1500</v>
          </cell>
          <cell r="D18">
            <v>0</v>
          </cell>
          <cell r="E18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2200</v>
          </cell>
          <cell r="D24">
            <v>3275</v>
          </cell>
          <cell r="E24">
            <v>3275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Other Expenses"/>
    </sheetNames>
    <sheetDataSet>
      <sheetData sheetId="0"/>
      <sheetData sheetId="1"/>
      <sheetData sheetId="2"/>
      <sheetData sheetId="3">
        <row r="12">
          <cell r="D12">
            <v>0</v>
          </cell>
          <cell r="E12">
            <v>0</v>
          </cell>
        </row>
        <row r="15">
          <cell r="D15">
            <v>0</v>
          </cell>
          <cell r="E15">
            <v>0</v>
          </cell>
        </row>
        <row r="18">
          <cell r="D18">
            <v>0</v>
          </cell>
          <cell r="E18">
            <v>0</v>
          </cell>
        </row>
        <row r="21">
          <cell r="D21">
            <v>0</v>
          </cell>
          <cell r="E21">
            <v>0</v>
          </cell>
        </row>
        <row r="24"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D30">
            <v>0</v>
          </cell>
          <cell r="E30">
            <v>0</v>
          </cell>
        </row>
      </sheetData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Supplies"/>
      <sheetName val="Other Expenses"/>
    </sheetNames>
    <sheetDataSet>
      <sheetData sheetId="0"/>
      <sheetData sheetId="1"/>
      <sheetData sheetId="2"/>
      <sheetData sheetId="3">
        <row r="12">
          <cell r="B12">
            <v>16182</v>
          </cell>
          <cell r="D12">
            <v>0</v>
          </cell>
          <cell r="E12">
            <v>0</v>
          </cell>
        </row>
        <row r="15">
          <cell r="B15">
            <v>0</v>
          </cell>
          <cell r="D15">
            <v>0</v>
          </cell>
          <cell r="E15">
            <v>0</v>
          </cell>
        </row>
        <row r="18">
          <cell r="B18">
            <v>0</v>
          </cell>
          <cell r="D18">
            <v>0</v>
          </cell>
          <cell r="E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Purchase of Services"/>
      <sheetName val="Supplies"/>
      <sheetName val="Other Expenses"/>
    </sheetNames>
    <sheetDataSet>
      <sheetData sheetId="0"/>
      <sheetData sheetId="1"/>
      <sheetData sheetId="2"/>
      <sheetData sheetId="3">
        <row r="12">
          <cell r="B12">
            <v>3000</v>
          </cell>
          <cell r="C12">
            <v>3000</v>
          </cell>
          <cell r="D12">
            <v>3030</v>
          </cell>
          <cell r="E12">
            <v>3120</v>
          </cell>
        </row>
        <row r="15">
          <cell r="B15">
            <v>9987.51</v>
          </cell>
          <cell r="C15">
            <v>9841</v>
          </cell>
          <cell r="D15">
            <v>9900</v>
          </cell>
          <cell r="E15">
            <v>9900</v>
          </cell>
        </row>
        <row r="18">
          <cell r="B18">
            <v>419</v>
          </cell>
          <cell r="C18">
            <v>500</v>
          </cell>
          <cell r="D18">
            <v>500</v>
          </cell>
          <cell r="E18">
            <v>500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2570.7399999999998</v>
          </cell>
          <cell r="C24">
            <v>3000</v>
          </cell>
          <cell r="D24">
            <v>3000</v>
          </cell>
          <cell r="E24">
            <v>3500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</sheetNames>
    <sheetDataSet>
      <sheetData sheetId="0"/>
      <sheetData sheetId="1"/>
      <sheetData sheetId="2"/>
      <sheetData sheetId="3"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5">
          <cell r="B15">
            <v>25564.61</v>
          </cell>
          <cell r="C15">
            <v>30000</v>
          </cell>
          <cell r="D15">
            <v>31500</v>
          </cell>
          <cell r="E15">
            <v>30000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Purchase of Services"/>
      <sheetName val="Supplies"/>
      <sheetName val="Other Expenses"/>
    </sheetNames>
    <sheetDataSet>
      <sheetData sheetId="0"/>
      <sheetData sheetId="1"/>
      <sheetData sheetId="2"/>
      <sheetData sheetId="3">
        <row r="12">
          <cell r="B12">
            <v>5202</v>
          </cell>
          <cell r="C12">
            <v>5255</v>
          </cell>
          <cell r="D12">
            <v>5308</v>
          </cell>
          <cell r="E12">
            <v>5308</v>
          </cell>
        </row>
        <row r="15">
          <cell r="B15">
            <v>23600</v>
          </cell>
          <cell r="C15">
            <v>23300</v>
          </cell>
          <cell r="D15">
            <v>25000</v>
          </cell>
          <cell r="E15">
            <v>24000</v>
          </cell>
        </row>
        <row r="18">
          <cell r="B18">
            <v>886.21</v>
          </cell>
          <cell r="C18">
            <v>1000</v>
          </cell>
          <cell r="D18">
            <v>2000</v>
          </cell>
          <cell r="E18">
            <v>2000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400</v>
          </cell>
          <cell r="C24">
            <v>400</v>
          </cell>
          <cell r="D24">
            <v>400</v>
          </cell>
          <cell r="E24">
            <v>400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</sheetNames>
    <sheetDataSet>
      <sheetData sheetId="0"/>
      <sheetData sheetId="1"/>
      <sheetData sheetId="2"/>
      <sheetData sheetId="3">
        <row r="12">
          <cell r="B12">
            <v>92700</v>
          </cell>
          <cell r="C12">
            <v>94000</v>
          </cell>
          <cell r="D12">
            <v>110911</v>
          </cell>
          <cell r="E12">
            <v>107806</v>
          </cell>
        </row>
        <row r="15">
          <cell r="B15">
            <v>7673.23</v>
          </cell>
          <cell r="C15">
            <v>8500</v>
          </cell>
          <cell r="D15">
            <v>9500</v>
          </cell>
          <cell r="E15">
            <v>9500</v>
          </cell>
        </row>
        <row r="18">
          <cell r="B18">
            <v>996.79</v>
          </cell>
          <cell r="C18">
            <v>1000</v>
          </cell>
          <cell r="D18">
            <v>1000</v>
          </cell>
          <cell r="E18">
            <v>1000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4">
          <cell r="B24">
            <v>3357.67</v>
          </cell>
          <cell r="C24">
            <v>3850</v>
          </cell>
          <cell r="D24">
            <v>6350</v>
          </cell>
          <cell r="E24">
            <v>6350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T-PT-OT"/>
      <sheetName val="Fringe Benefits"/>
      <sheetName val="Purchase of Services"/>
      <sheetName val="Other Expenses"/>
      <sheetName val="Capital Outlay"/>
    </sheetNames>
    <sheetDataSet>
      <sheetData sheetId="0"/>
      <sheetData sheetId="1"/>
      <sheetData sheetId="2"/>
      <sheetData sheetId="3">
        <row r="12">
          <cell r="B12">
            <v>560649.12</v>
          </cell>
          <cell r="C12">
            <v>630984</v>
          </cell>
          <cell r="D12">
            <v>642327</v>
          </cell>
          <cell r="E12">
            <v>618383</v>
          </cell>
        </row>
        <row r="15">
          <cell r="B15">
            <v>27250</v>
          </cell>
          <cell r="C15">
            <v>28300</v>
          </cell>
          <cell r="D15">
            <v>32323</v>
          </cell>
          <cell r="E15">
            <v>29823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1397.26</v>
          </cell>
          <cell r="C24">
            <v>1500</v>
          </cell>
          <cell r="D24">
            <v>2000</v>
          </cell>
          <cell r="E24">
            <v>1500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Purchase of Services"/>
      <sheetName val="Supplies"/>
      <sheetName val="Other Expenses"/>
    </sheetNames>
    <sheetDataSet>
      <sheetData sheetId="0"/>
      <sheetData sheetId="1"/>
      <sheetData sheetId="2"/>
      <sheetData sheetId="3">
        <row r="12">
          <cell r="B12">
            <v>162500</v>
          </cell>
          <cell r="C12">
            <v>165750</v>
          </cell>
          <cell r="D12">
            <v>170400</v>
          </cell>
          <cell r="E12">
            <v>170400</v>
          </cell>
        </row>
        <row r="15">
          <cell r="B15">
            <v>2635.62</v>
          </cell>
          <cell r="C15">
            <v>2700</v>
          </cell>
          <cell r="D15">
            <v>2700</v>
          </cell>
          <cell r="E15">
            <v>2700</v>
          </cell>
        </row>
        <row r="18">
          <cell r="B18">
            <v>1729.93</v>
          </cell>
          <cell r="C18">
            <v>2900</v>
          </cell>
          <cell r="D18">
            <v>2900</v>
          </cell>
          <cell r="E18">
            <v>2900</v>
          </cell>
        </row>
        <row r="21">
          <cell r="B21">
            <v>0</v>
          </cell>
          <cell r="C21">
            <v>0</v>
          </cell>
        </row>
        <row r="24">
          <cell r="B24">
            <v>9022.02</v>
          </cell>
          <cell r="C24">
            <v>10400</v>
          </cell>
          <cell r="D24">
            <v>10400</v>
          </cell>
          <cell r="E24">
            <v>10400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  <sheetName val="Supplies"/>
      <sheetName val="Capital Outlay"/>
    </sheetNames>
    <sheetDataSet>
      <sheetData sheetId="0"/>
      <sheetData sheetId="1"/>
      <sheetData sheetId="2"/>
      <sheetData sheetId="3">
        <row r="15">
          <cell r="B15">
            <v>75384.399999999994</v>
          </cell>
          <cell r="C15">
            <v>86000</v>
          </cell>
          <cell r="D15">
            <v>90000</v>
          </cell>
          <cell r="E15">
            <v>90000</v>
          </cell>
        </row>
        <row r="18">
          <cell r="B18">
            <v>119961.48</v>
          </cell>
          <cell r="C18">
            <v>125000</v>
          </cell>
          <cell r="D18">
            <v>130000</v>
          </cell>
          <cell r="E18">
            <v>130000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143782.91</v>
          </cell>
          <cell r="C27">
            <v>128000</v>
          </cell>
          <cell r="D27">
            <v>204000</v>
          </cell>
          <cell r="E27">
            <v>129000</v>
          </cell>
        </row>
        <row r="30"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T-PT-OT"/>
      <sheetName val="Purchase of Services"/>
      <sheetName val="Supplies"/>
    </sheetNames>
    <sheetDataSet>
      <sheetData sheetId="0"/>
      <sheetData sheetId="1"/>
      <sheetData sheetId="2"/>
      <sheetData sheetId="3">
        <row r="12">
          <cell r="B12">
            <v>81293.8</v>
          </cell>
          <cell r="C12">
            <v>55000</v>
          </cell>
          <cell r="D12">
            <v>60000</v>
          </cell>
          <cell r="E12">
            <v>60000</v>
          </cell>
        </row>
        <row r="15">
          <cell r="B15">
            <v>112547.8</v>
          </cell>
          <cell r="C15">
            <v>34000</v>
          </cell>
          <cell r="D15">
            <v>35000</v>
          </cell>
          <cell r="E15">
            <v>35000</v>
          </cell>
        </row>
        <row r="18">
          <cell r="B18">
            <v>268096.40999999997</v>
          </cell>
          <cell r="C18">
            <v>71000</v>
          </cell>
          <cell r="D18">
            <v>75000</v>
          </cell>
          <cell r="E18">
            <v>75000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14526.85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</sheetNames>
    <sheetDataSet>
      <sheetData sheetId="0"/>
      <sheetData sheetId="1"/>
      <sheetData sheetId="2"/>
      <sheetData sheetId="3">
        <row r="15">
          <cell r="B15">
            <v>91998.77</v>
          </cell>
          <cell r="C15">
            <v>95000</v>
          </cell>
          <cell r="D15">
            <v>95000</v>
          </cell>
          <cell r="E15">
            <v>92000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  <sheetName val="Supplies"/>
      <sheetName val="Capital Outlay"/>
    </sheetNames>
    <sheetDataSet>
      <sheetData sheetId="0"/>
      <sheetData sheetId="1"/>
      <sheetData sheetId="2"/>
      <sheetData sheetId="3"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5">
          <cell r="B15">
            <v>86495.48</v>
          </cell>
          <cell r="C15">
            <v>87000</v>
          </cell>
          <cell r="D15">
            <v>89500</v>
          </cell>
          <cell r="E15">
            <v>89500</v>
          </cell>
        </row>
        <row r="18">
          <cell r="B18">
            <v>5000</v>
          </cell>
          <cell r="C18">
            <v>4000</v>
          </cell>
          <cell r="D18">
            <v>4000</v>
          </cell>
          <cell r="E18">
            <v>4000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10000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T-PT-OT"/>
      <sheetName val="Purchase of Services"/>
      <sheetName val="General Expenses"/>
      <sheetName val="Supplies"/>
      <sheetName val="Capital Outlay"/>
    </sheetNames>
    <sheetDataSet>
      <sheetData sheetId="0"/>
      <sheetData sheetId="1"/>
      <sheetData sheetId="2"/>
      <sheetData sheetId="3">
        <row r="12">
          <cell r="B12">
            <v>19980</v>
          </cell>
          <cell r="C12">
            <v>19980</v>
          </cell>
          <cell r="D12">
            <v>19980</v>
          </cell>
          <cell r="E12">
            <v>19980</v>
          </cell>
        </row>
        <row r="15">
          <cell r="B15">
            <v>17535.740000000002</v>
          </cell>
          <cell r="C15">
            <v>18000</v>
          </cell>
          <cell r="D15">
            <v>18000</v>
          </cell>
          <cell r="E15">
            <v>18000</v>
          </cell>
        </row>
        <row r="18">
          <cell r="B18">
            <v>2377.81</v>
          </cell>
          <cell r="C18">
            <v>5000</v>
          </cell>
          <cell r="D18">
            <v>5000</v>
          </cell>
          <cell r="E18">
            <v>5000</v>
          </cell>
        </row>
        <row r="21">
          <cell r="B21">
            <v>17363.580000000002</v>
          </cell>
          <cell r="C21">
            <v>18000</v>
          </cell>
          <cell r="D21">
            <v>18000</v>
          </cell>
          <cell r="E21">
            <v>18000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15000</v>
          </cell>
          <cell r="D30">
            <v>28000</v>
          </cell>
          <cell r="E30">
            <v>15000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Purchase of Services"/>
      <sheetName val="Supplies"/>
      <sheetName val="Capital Outlay"/>
    </sheetNames>
    <sheetDataSet>
      <sheetData sheetId="0"/>
      <sheetData sheetId="1"/>
      <sheetData sheetId="2"/>
      <sheetData sheetId="3">
        <row r="12">
          <cell r="B12">
            <v>13320</v>
          </cell>
          <cell r="C12">
            <v>13320</v>
          </cell>
          <cell r="D12">
            <v>13320</v>
          </cell>
          <cell r="E12">
            <v>13320</v>
          </cell>
        </row>
        <row r="15">
          <cell r="B15">
            <v>21862</v>
          </cell>
          <cell r="C15">
            <v>22500</v>
          </cell>
          <cell r="D15">
            <v>22600</v>
          </cell>
          <cell r="E15">
            <v>17100</v>
          </cell>
        </row>
        <row r="18">
          <cell r="B18">
            <v>734.44</v>
          </cell>
          <cell r="C18">
            <v>2000</v>
          </cell>
          <cell r="D18">
            <v>2000</v>
          </cell>
          <cell r="E18">
            <v>2000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7">
          <cell r="B27">
            <v>2068.5</v>
          </cell>
          <cell r="C27">
            <v>1500</v>
          </cell>
          <cell r="D27">
            <v>22000</v>
          </cell>
          <cell r="E27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  <sheetName val="Supplies"/>
    </sheetNames>
    <sheetDataSet>
      <sheetData sheetId="0"/>
      <sheetData sheetId="1"/>
      <sheetData sheetId="2"/>
      <sheetData sheetId="3">
        <row r="15">
          <cell r="B15">
            <v>1468.75</v>
          </cell>
          <cell r="C15">
            <v>7000</v>
          </cell>
          <cell r="D15">
            <v>7000</v>
          </cell>
          <cell r="E15">
            <v>7000</v>
          </cell>
        </row>
        <row r="18">
          <cell r="B18">
            <v>158322.75</v>
          </cell>
          <cell r="C18">
            <v>150000</v>
          </cell>
          <cell r="D18">
            <v>150000</v>
          </cell>
          <cell r="E18">
            <v>140000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</sheetNames>
    <sheetDataSet>
      <sheetData sheetId="0"/>
      <sheetData sheetId="1"/>
      <sheetData sheetId="2"/>
      <sheetData sheetId="3">
        <row r="12">
          <cell r="B12">
            <v>43258.27</v>
          </cell>
          <cell r="C12">
            <v>45094</v>
          </cell>
          <cell r="D12">
            <v>45449</v>
          </cell>
          <cell r="E12">
            <v>42862</v>
          </cell>
        </row>
        <row r="15">
          <cell r="B15">
            <v>43436.79</v>
          </cell>
          <cell r="C15">
            <v>56000</v>
          </cell>
          <cell r="D15">
            <v>56000</v>
          </cell>
          <cell r="E15">
            <v>56000</v>
          </cell>
        </row>
        <row r="18">
          <cell r="B18">
            <v>2325.38</v>
          </cell>
          <cell r="C18">
            <v>2500</v>
          </cell>
          <cell r="D18">
            <v>2500</v>
          </cell>
          <cell r="E18">
            <v>2500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2009.07</v>
          </cell>
          <cell r="C24">
            <v>5700</v>
          </cell>
          <cell r="D24">
            <v>5700</v>
          </cell>
          <cell r="E24">
            <v>5700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</sheetNames>
    <sheetDataSet>
      <sheetData sheetId="0"/>
      <sheetData sheetId="1"/>
      <sheetData sheetId="2"/>
      <sheetData sheetId="3">
        <row r="12">
          <cell r="B12">
            <v>103182.34</v>
          </cell>
          <cell r="C12">
            <v>108116</v>
          </cell>
          <cell r="D12">
            <v>127538</v>
          </cell>
          <cell r="E12">
            <v>122819</v>
          </cell>
        </row>
        <row r="15">
          <cell r="B15">
            <v>23367.530000000002</v>
          </cell>
          <cell r="C15">
            <v>26600</v>
          </cell>
          <cell r="D15">
            <v>25800</v>
          </cell>
          <cell r="E15">
            <v>25800</v>
          </cell>
        </row>
        <row r="18">
          <cell r="B18">
            <v>3329.04</v>
          </cell>
          <cell r="C18">
            <v>3750</v>
          </cell>
          <cell r="D18">
            <v>3750</v>
          </cell>
          <cell r="E18">
            <v>3750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1641.4</v>
          </cell>
          <cell r="C24">
            <v>2000</v>
          </cell>
          <cell r="D24">
            <v>2000</v>
          </cell>
          <cell r="E24">
            <v>2000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Supplies"/>
      <sheetName val="Other Expenses"/>
    </sheetNames>
    <sheetDataSet>
      <sheetData sheetId="0"/>
      <sheetData sheetId="1"/>
      <sheetData sheetId="2"/>
      <sheetData sheetId="3">
        <row r="12">
          <cell r="B12">
            <v>15911</v>
          </cell>
          <cell r="C12">
            <v>16100</v>
          </cell>
          <cell r="D12">
            <v>16261</v>
          </cell>
          <cell r="E12">
            <v>16261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8">
          <cell r="B18">
            <v>0</v>
          </cell>
          <cell r="C18">
            <v>100</v>
          </cell>
          <cell r="D18">
            <v>300</v>
          </cell>
          <cell r="E18">
            <v>300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150000</v>
          </cell>
          <cell r="C24">
            <v>150000</v>
          </cell>
          <cell r="D24">
            <v>150035</v>
          </cell>
          <cell r="E24">
            <v>145035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T-PT-OT"/>
      <sheetName val="Other Expenses"/>
    </sheetNames>
    <sheetDataSet>
      <sheetData sheetId="0"/>
      <sheetData sheetId="1"/>
      <sheetData sheetId="2"/>
      <sheetData sheetId="3">
        <row r="12">
          <cell r="B12">
            <v>519.12</v>
          </cell>
          <cell r="C12">
            <v>900</v>
          </cell>
          <cell r="D12">
            <v>900</v>
          </cell>
          <cell r="E12">
            <v>900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244</v>
          </cell>
          <cell r="C24">
            <v>250</v>
          </cell>
          <cell r="D24">
            <v>300</v>
          </cell>
          <cell r="E24">
            <v>300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Other Expenses"/>
    </sheetNames>
    <sheetDataSet>
      <sheetData sheetId="0"/>
      <sheetData sheetId="1"/>
      <sheetData sheetId="2"/>
      <sheetData sheetId="3"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102.98</v>
          </cell>
          <cell r="C24">
            <v>500</v>
          </cell>
          <cell r="D24">
            <v>500</v>
          </cell>
          <cell r="E24">
            <v>500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  <sheetName val="Capital Outlay"/>
    </sheetNames>
    <sheetDataSet>
      <sheetData sheetId="0"/>
      <sheetData sheetId="1"/>
      <sheetData sheetId="2"/>
      <sheetData sheetId="3">
        <row r="12">
          <cell r="B12">
            <v>208675.03</v>
          </cell>
          <cell r="C12">
            <v>211838</v>
          </cell>
          <cell r="D12">
            <v>214635</v>
          </cell>
          <cell r="E12">
            <v>214654</v>
          </cell>
        </row>
        <row r="15">
          <cell r="B15">
            <v>78522.929999999993</v>
          </cell>
          <cell r="C15">
            <v>83823</v>
          </cell>
          <cell r="D15">
            <v>84730</v>
          </cell>
          <cell r="E15">
            <v>84730</v>
          </cell>
        </row>
        <row r="18">
          <cell r="B18">
            <v>11030.03</v>
          </cell>
          <cell r="C18">
            <v>11041</v>
          </cell>
          <cell r="D18">
            <v>11041</v>
          </cell>
          <cell r="E18">
            <v>11041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400</v>
          </cell>
          <cell r="C24">
            <v>450</v>
          </cell>
          <cell r="D24">
            <v>450</v>
          </cell>
          <cell r="E24">
            <v>450</v>
          </cell>
        </row>
        <row r="27">
          <cell r="B27">
            <v>61000</v>
          </cell>
          <cell r="C27">
            <v>61000</v>
          </cell>
          <cell r="D27">
            <v>61000</v>
          </cell>
          <cell r="E27">
            <v>61000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T-PT-OT"/>
      <sheetName val="Supplies"/>
      <sheetName val="Other Expenses"/>
    </sheetNames>
    <sheetDataSet>
      <sheetData sheetId="0"/>
      <sheetData sheetId="1"/>
      <sheetData sheetId="2"/>
      <sheetData sheetId="3">
        <row r="12">
          <cell r="B12">
            <v>0</v>
          </cell>
          <cell r="C12">
            <v>1000</v>
          </cell>
          <cell r="D12">
            <v>1000</v>
          </cell>
          <cell r="E12">
            <v>1000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8">
          <cell r="B18">
            <v>0</v>
          </cell>
          <cell r="C18">
            <v>300</v>
          </cell>
          <cell r="D18">
            <v>300</v>
          </cell>
          <cell r="E18">
            <v>300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400</v>
          </cell>
          <cell r="D24">
            <v>400</v>
          </cell>
          <cell r="E24">
            <v>400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Purchase of Services"/>
      <sheetName val="Supplies"/>
      <sheetName val="Capital Outlay"/>
    </sheetNames>
    <sheetDataSet>
      <sheetData sheetId="0"/>
      <sheetData sheetId="1"/>
      <sheetData sheetId="2"/>
      <sheetData sheetId="3">
        <row r="12">
          <cell r="B12">
            <v>45582</v>
          </cell>
          <cell r="C12">
            <v>46038</v>
          </cell>
          <cell r="D12">
            <v>46499</v>
          </cell>
          <cell r="E12">
            <v>46499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Supplies"/>
    </sheetNames>
    <sheetDataSet>
      <sheetData sheetId="0"/>
      <sheetData sheetId="1"/>
      <sheetData sheetId="2"/>
      <sheetData sheetId="3"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8">
          <cell r="B18">
            <v>0</v>
          </cell>
          <cell r="C18">
            <v>400</v>
          </cell>
          <cell r="D18">
            <v>400</v>
          </cell>
          <cell r="E18">
            <v>400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Other Expenses"/>
    </sheetNames>
    <sheetDataSet>
      <sheetData sheetId="0"/>
      <sheetData sheetId="1"/>
      <sheetData sheetId="2"/>
      <sheetData sheetId="3"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4">
          <cell r="B24">
            <v>350</v>
          </cell>
          <cell r="C24">
            <v>1000</v>
          </cell>
          <cell r="D24">
            <v>1000</v>
          </cell>
          <cell r="E24">
            <v>1000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Debt Service"/>
    </sheetNames>
    <sheetDataSet>
      <sheetData sheetId="0"/>
      <sheetData sheetId="1"/>
      <sheetData sheetId="2"/>
      <sheetData sheetId="3">
        <row r="6">
          <cell r="B6">
            <v>1942921.68</v>
          </cell>
          <cell r="C6">
            <v>2081509</v>
          </cell>
          <cell r="D6">
            <v>2110826</v>
          </cell>
          <cell r="E6">
            <v>2110826</v>
          </cell>
        </row>
        <row r="7">
          <cell r="B7">
            <v>680901.4</v>
          </cell>
          <cell r="C7">
            <v>644581</v>
          </cell>
          <cell r="D7">
            <v>600999</v>
          </cell>
          <cell r="E7">
            <v>600999</v>
          </cell>
        </row>
        <row r="8">
          <cell r="B8">
            <v>9828.2999999999993</v>
          </cell>
          <cell r="C8">
            <v>20000</v>
          </cell>
          <cell r="D8">
            <v>20000</v>
          </cell>
          <cell r="E8">
            <v>20000</v>
          </cell>
        </row>
      </sheetData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Fringe Benefits"/>
      <sheetName val="Other Expenses"/>
    </sheetNames>
    <sheetDataSet>
      <sheetData sheetId="0"/>
      <sheetData sheetId="1"/>
      <sheetData sheetId="2"/>
      <sheetData sheetId="3">
        <row r="6">
          <cell r="B6">
            <v>1213130</v>
          </cell>
          <cell r="C6">
            <v>1350754</v>
          </cell>
          <cell r="D6">
            <v>1398084</v>
          </cell>
          <cell r="E6">
            <v>1398084</v>
          </cell>
        </row>
        <row r="7">
          <cell r="B7">
            <v>201484</v>
          </cell>
          <cell r="C7">
            <v>256000</v>
          </cell>
          <cell r="D7">
            <v>325000</v>
          </cell>
          <cell r="E7">
            <v>320000</v>
          </cell>
        </row>
        <row r="8">
          <cell r="B8">
            <v>12993.050000000001</v>
          </cell>
          <cell r="C8">
            <v>40000</v>
          </cell>
          <cell r="D8">
            <v>40000</v>
          </cell>
          <cell r="E8">
            <v>40000</v>
          </cell>
        </row>
        <row r="9">
          <cell r="B9">
            <v>7858.98</v>
          </cell>
          <cell r="C9">
            <v>10000</v>
          </cell>
          <cell r="D9">
            <v>10000</v>
          </cell>
          <cell r="E9">
            <v>10000</v>
          </cell>
        </row>
        <row r="10">
          <cell r="B10">
            <v>1047131.95</v>
          </cell>
          <cell r="C10">
            <v>1123571</v>
          </cell>
          <cell r="D10">
            <v>1190985</v>
          </cell>
          <cell r="E10">
            <v>1054580</v>
          </cell>
        </row>
        <row r="11">
          <cell r="B11">
            <v>3358201.25</v>
          </cell>
          <cell r="C11">
            <v>3542838</v>
          </cell>
          <cell r="D11">
            <v>3755409</v>
          </cell>
          <cell r="E11">
            <v>3502332</v>
          </cell>
        </row>
        <row r="12">
          <cell r="B12">
            <v>1151.04</v>
          </cell>
          <cell r="C12">
            <v>1760</v>
          </cell>
          <cell r="D12">
            <v>1760</v>
          </cell>
          <cell r="E12">
            <v>1800</v>
          </cell>
        </row>
        <row r="13">
          <cell r="B13">
            <v>3453.12</v>
          </cell>
          <cell r="C13">
            <v>3600</v>
          </cell>
          <cell r="D13">
            <v>3600</v>
          </cell>
          <cell r="E13">
            <v>3800</v>
          </cell>
        </row>
        <row r="14">
          <cell r="B14">
            <v>263831.28000000003</v>
          </cell>
          <cell r="C14">
            <v>270000</v>
          </cell>
          <cell r="D14">
            <v>280000</v>
          </cell>
          <cell r="E14">
            <v>275000</v>
          </cell>
        </row>
        <row r="15">
          <cell r="B15">
            <v>20000</v>
          </cell>
          <cell r="C15">
            <v>20000</v>
          </cell>
          <cell r="D15">
            <v>25000</v>
          </cell>
          <cell r="E15">
            <v>20000</v>
          </cell>
        </row>
        <row r="19">
          <cell r="B19">
            <v>360188.44</v>
          </cell>
          <cell r="C19">
            <v>385000</v>
          </cell>
          <cell r="D19">
            <v>395000</v>
          </cell>
          <cell r="E19">
            <v>402000</v>
          </cell>
        </row>
      </sheetData>
      <sheetData sheetId="4"/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Intergovernmental"/>
      <sheetName val="Other Expenses"/>
      <sheetName val="Capital Outlay"/>
      <sheetName val="Capital Expense"/>
    </sheetNames>
    <sheetDataSet>
      <sheetData sheetId="0"/>
      <sheetData sheetId="1"/>
      <sheetData sheetId="2"/>
      <sheetData sheetId="3">
        <row r="12">
          <cell r="B12">
            <v>211643.61000000002</v>
          </cell>
          <cell r="C12">
            <v>252928</v>
          </cell>
          <cell r="D12">
            <v>254898</v>
          </cell>
          <cell r="E12">
            <v>254898</v>
          </cell>
        </row>
        <row r="15">
          <cell r="B15">
            <v>262288.81</v>
          </cell>
          <cell r="C15">
            <v>266689</v>
          </cell>
          <cell r="D15">
            <v>302189</v>
          </cell>
          <cell r="E15">
            <v>292189</v>
          </cell>
        </row>
        <row r="18">
          <cell r="B18">
            <v>37976.379999999997</v>
          </cell>
          <cell r="C18">
            <v>38000</v>
          </cell>
          <cell r="D18">
            <v>38000</v>
          </cell>
          <cell r="E18">
            <v>38000</v>
          </cell>
        </row>
        <row r="21">
          <cell r="B21">
            <v>783062</v>
          </cell>
          <cell r="C21">
            <v>827412</v>
          </cell>
          <cell r="D21">
            <v>883287</v>
          </cell>
          <cell r="E21">
            <v>883287</v>
          </cell>
        </row>
        <row r="24">
          <cell r="B24">
            <v>1977.1</v>
          </cell>
          <cell r="C24">
            <v>2750</v>
          </cell>
          <cell r="D24">
            <v>4000</v>
          </cell>
          <cell r="E24">
            <v>4000</v>
          </cell>
        </row>
        <row r="27">
          <cell r="B27">
            <v>106480.74</v>
          </cell>
          <cell r="C27">
            <v>25000</v>
          </cell>
          <cell r="D27">
            <v>70000</v>
          </cell>
          <cell r="E27">
            <v>70000</v>
          </cell>
        </row>
        <row r="30">
          <cell r="B30">
            <v>50000</v>
          </cell>
          <cell r="C30">
            <v>50000</v>
          </cell>
          <cell r="D30">
            <v>50000</v>
          </cell>
          <cell r="E30">
            <v>50000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</sheetNames>
    <sheetDataSet>
      <sheetData sheetId="0"/>
      <sheetData sheetId="1"/>
      <sheetData sheetId="2"/>
      <sheetData sheetId="3">
        <row r="12">
          <cell r="C12">
            <v>137662.67000000001</v>
          </cell>
          <cell r="D12">
            <v>140546</v>
          </cell>
          <cell r="E12">
            <v>126283</v>
          </cell>
          <cell r="F12">
            <v>127200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8">
          <cell r="C18">
            <v>634.91999999999996</v>
          </cell>
          <cell r="D18">
            <v>1000</v>
          </cell>
          <cell r="E18">
            <v>1000</v>
          </cell>
          <cell r="F18">
            <v>1000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4">
          <cell r="C24">
            <v>1336.55</v>
          </cell>
          <cell r="D24">
            <v>3295</v>
          </cell>
          <cell r="E24">
            <v>3975</v>
          </cell>
          <cell r="F24">
            <v>3975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</sheetNames>
    <sheetDataSet>
      <sheetData sheetId="0"/>
      <sheetData sheetId="1"/>
      <sheetData sheetId="2"/>
      <sheetData sheetId="3">
        <row r="15">
          <cell r="C15">
            <v>27500</v>
          </cell>
          <cell r="D15">
            <v>27500</v>
          </cell>
          <cell r="E15">
            <v>27500</v>
          </cell>
          <cell r="F15">
            <v>27500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Supplies"/>
      <sheetName val="Other Expenses"/>
      <sheetName val="Capital Outlay"/>
    </sheetNames>
    <sheetDataSet>
      <sheetData sheetId="0"/>
      <sheetData sheetId="1"/>
      <sheetData sheetId="2"/>
      <sheetData sheetId="3">
        <row r="12">
          <cell r="C12">
            <v>113021.8</v>
          </cell>
          <cell r="D12">
            <v>114047</v>
          </cell>
          <cell r="E12">
            <v>113493</v>
          </cell>
          <cell r="F12">
            <v>114012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8">
          <cell r="C18">
            <v>951.98</v>
          </cell>
          <cell r="D18">
            <v>1080</v>
          </cell>
          <cell r="E18">
            <v>1055</v>
          </cell>
          <cell r="F18">
            <v>1055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4">
          <cell r="C24">
            <v>11233</v>
          </cell>
          <cell r="D24">
            <v>13382</v>
          </cell>
          <cell r="E24">
            <v>14102</v>
          </cell>
          <cell r="F24">
            <v>14102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Admin-Elected"/>
      <sheetName val="FT-PT-OT"/>
      <sheetName val="Fringe Benefits"/>
      <sheetName val="Purchase of Services"/>
      <sheetName val="Supplies"/>
      <sheetName val="Other Expenses"/>
    </sheetNames>
    <sheetDataSet>
      <sheetData sheetId="0"/>
      <sheetData sheetId="1"/>
      <sheetData sheetId="2"/>
      <sheetData sheetId="3">
        <row r="12">
          <cell r="C12">
            <v>163342.76</v>
          </cell>
          <cell r="D12">
            <v>166262</v>
          </cell>
          <cell r="E12">
            <v>168147.3</v>
          </cell>
          <cell r="F12">
            <v>172248</v>
          </cell>
        </row>
        <row r="15">
          <cell r="C15">
            <v>37651.599999999999</v>
          </cell>
          <cell r="D15">
            <v>36500</v>
          </cell>
          <cell r="E15">
            <v>37000</v>
          </cell>
          <cell r="F15">
            <v>29625</v>
          </cell>
        </row>
        <row r="18">
          <cell r="C18">
            <v>16024.439999999999</v>
          </cell>
          <cell r="D18">
            <v>20750</v>
          </cell>
          <cell r="E18">
            <v>20750</v>
          </cell>
          <cell r="F18">
            <v>20750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4">
          <cell r="C24">
            <v>1658.12</v>
          </cell>
          <cell r="D24">
            <v>2298</v>
          </cell>
          <cell r="E24">
            <v>2305.5</v>
          </cell>
          <cell r="F24">
            <v>2306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"/>
      <sheetName val="FY07"/>
      <sheetName val="Dept"/>
      <sheetName val="Cover"/>
      <sheetName val="Purchase of Services"/>
    </sheetNames>
    <sheetDataSet>
      <sheetData sheetId="0"/>
      <sheetData sheetId="1"/>
      <sheetData sheetId="2"/>
      <sheetData sheetId="3">
        <row r="15">
          <cell r="C15">
            <v>189989.05000000002</v>
          </cell>
          <cell r="D15">
            <v>120000</v>
          </cell>
          <cell r="E15">
            <v>130000</v>
          </cell>
          <cell r="F15">
            <v>130000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62"/>
  <sheetViews>
    <sheetView tabSelected="1" zoomScale="80" zoomScaleNormal="80" workbookViewId="0">
      <selection activeCell="D43" sqref="D43"/>
    </sheetView>
  </sheetViews>
  <sheetFormatPr defaultColWidth="9.140625" defaultRowHeight="12.75" x14ac:dyDescent="0.2"/>
  <cols>
    <col min="1" max="1" width="73.7109375" style="1" customWidth="1"/>
    <col min="2" max="2" width="14" style="1" hidden="1" customWidth="1"/>
    <col min="3" max="3" width="0" style="1" hidden="1" customWidth="1"/>
    <col min="4" max="4" width="14.85546875" style="1" customWidth="1"/>
    <col min="5" max="5" width="16.42578125" style="1" customWidth="1"/>
    <col min="6" max="7" width="14.28515625" style="1" customWidth="1"/>
    <col min="8" max="16384" width="9.140625" style="1"/>
  </cols>
  <sheetData>
    <row r="3" spans="1:4" x14ac:dyDescent="0.2">
      <c r="B3" s="2" t="s">
        <v>176</v>
      </c>
      <c r="D3" s="2" t="s">
        <v>191</v>
      </c>
    </row>
    <row r="4" spans="1:4" ht="25.5" x14ac:dyDescent="0.2">
      <c r="A4" s="3" t="s">
        <v>1</v>
      </c>
      <c r="B4" s="4" t="s">
        <v>180</v>
      </c>
      <c r="D4" s="5" t="s">
        <v>179</v>
      </c>
    </row>
    <row r="6" spans="1:4" x14ac:dyDescent="0.2">
      <c r="A6" s="6" t="s">
        <v>206</v>
      </c>
      <c r="B6" s="7">
        <v>19108727</v>
      </c>
      <c r="D6" s="7">
        <v>20747347</v>
      </c>
    </row>
    <row r="7" spans="1:4" x14ac:dyDescent="0.2">
      <c r="A7" s="6" t="s">
        <v>2</v>
      </c>
      <c r="B7" s="7">
        <f>SUM(B6*0.025)</f>
        <v>477718.17500000005</v>
      </c>
      <c r="D7" s="7">
        <f>SUM(D6*0.025)</f>
        <v>518683.67500000005</v>
      </c>
    </row>
    <row r="8" spans="1:4" x14ac:dyDescent="0.2">
      <c r="A8" s="6" t="s">
        <v>3</v>
      </c>
      <c r="B8" s="7">
        <v>125000</v>
      </c>
      <c r="D8" s="7">
        <v>180000</v>
      </c>
    </row>
    <row r="9" spans="1:4" x14ac:dyDescent="0.2">
      <c r="B9" s="8"/>
      <c r="D9" s="8"/>
    </row>
    <row r="10" spans="1:4" x14ac:dyDescent="0.2">
      <c r="A10" s="9" t="s">
        <v>207</v>
      </c>
      <c r="B10" s="7">
        <f>SUM(B6:B8)</f>
        <v>19711445.175000001</v>
      </c>
      <c r="D10" s="7">
        <f>SUM(D6:D9)</f>
        <v>21446030.675000001</v>
      </c>
    </row>
    <row r="11" spans="1:4" x14ac:dyDescent="0.2">
      <c r="B11" s="8"/>
      <c r="D11" s="8"/>
    </row>
    <row r="12" spans="1:4" x14ac:dyDescent="0.2">
      <c r="A12" s="9" t="s">
        <v>4</v>
      </c>
      <c r="B12" s="8"/>
      <c r="D12" s="8"/>
    </row>
    <row r="13" spans="1:4" x14ac:dyDescent="0.2">
      <c r="B13" s="8"/>
      <c r="D13" s="8"/>
    </row>
    <row r="14" spans="1:4" x14ac:dyDescent="0.2">
      <c r="A14" s="10" t="s">
        <v>5</v>
      </c>
      <c r="B14" s="7">
        <v>514325</v>
      </c>
      <c r="D14" s="7">
        <v>489038</v>
      </c>
    </row>
    <row r="15" spans="1:4" x14ac:dyDescent="0.2">
      <c r="A15" s="10" t="s">
        <v>6</v>
      </c>
      <c r="B15" s="7">
        <v>822414.72</v>
      </c>
      <c r="D15" s="7">
        <v>701823</v>
      </c>
    </row>
    <row r="16" spans="1:4" x14ac:dyDescent="0.2">
      <c r="A16" s="10" t="s">
        <v>7</v>
      </c>
      <c r="B16" s="7">
        <v>147358</v>
      </c>
      <c r="D16" s="7">
        <v>146088.5</v>
      </c>
    </row>
    <row r="17" spans="1:5" x14ac:dyDescent="0.2">
      <c r="A17" s="10" t="s">
        <v>181</v>
      </c>
      <c r="B17" s="7">
        <v>220610</v>
      </c>
      <c r="D17" s="7">
        <v>217095</v>
      </c>
    </row>
    <row r="18" spans="1:5" x14ac:dyDescent="0.2">
      <c r="A18" s="10" t="s">
        <v>193</v>
      </c>
      <c r="B18" s="7"/>
      <c r="D18" s="7"/>
    </row>
    <row r="19" spans="1:5" x14ac:dyDescent="0.2">
      <c r="A19" s="10" t="s">
        <v>8</v>
      </c>
      <c r="B19" s="7">
        <v>48843</v>
      </c>
      <c r="D19" s="7">
        <v>46008</v>
      </c>
    </row>
    <row r="20" spans="1:5" x14ac:dyDescent="0.2">
      <c r="A20" s="11" t="s">
        <v>9</v>
      </c>
      <c r="B20" s="7">
        <v>-31729.34</v>
      </c>
      <c r="D20" s="7">
        <v>-26847</v>
      </c>
    </row>
    <row r="21" spans="1:5" x14ac:dyDescent="0.2">
      <c r="A21" s="11" t="s">
        <v>10</v>
      </c>
      <c r="B21" s="7">
        <v>-77426.42</v>
      </c>
      <c r="D21" s="7">
        <v>-61953</v>
      </c>
    </row>
    <row r="22" spans="1:5" x14ac:dyDescent="0.2">
      <c r="A22" s="11" t="s">
        <v>192</v>
      </c>
      <c r="B22" s="7"/>
      <c r="D22" s="7"/>
    </row>
    <row r="23" spans="1:5" x14ac:dyDescent="0.2">
      <c r="A23" s="11" t="s">
        <v>11</v>
      </c>
      <c r="B23" s="7"/>
      <c r="D23" s="7"/>
    </row>
    <row r="24" spans="1:5" x14ac:dyDescent="0.2">
      <c r="A24" s="12" t="s">
        <v>12</v>
      </c>
      <c r="B24" s="7">
        <f>SUM(B14:B23)+272</f>
        <v>1644666.96</v>
      </c>
      <c r="D24" s="7">
        <f>SUM(D14:D23)</f>
        <v>1511252.5</v>
      </c>
      <c r="E24" s="8"/>
    </row>
    <row r="25" spans="1:5" x14ac:dyDescent="0.2">
      <c r="B25" s="7"/>
      <c r="D25" s="7"/>
    </row>
    <row r="26" spans="1:5" s="12" customFormat="1" x14ac:dyDescent="0.2">
      <c r="A26" s="12" t="s">
        <v>202</v>
      </c>
      <c r="B26" s="13">
        <f>SUM(B10,B24)</f>
        <v>21356112.135000002</v>
      </c>
      <c r="D26" s="13">
        <f>SUM(D10,D24)</f>
        <v>22957283.175000001</v>
      </c>
    </row>
    <row r="27" spans="1:5" x14ac:dyDescent="0.2">
      <c r="B27" s="8"/>
      <c r="D27" s="8"/>
    </row>
    <row r="28" spans="1:5" x14ac:dyDescent="0.2">
      <c r="A28" s="14" t="s">
        <v>13</v>
      </c>
      <c r="B28" s="8"/>
      <c r="D28" s="8"/>
    </row>
    <row r="29" spans="1:5" x14ac:dyDescent="0.2">
      <c r="A29" s="12" t="s">
        <v>14</v>
      </c>
      <c r="B29" s="8"/>
      <c r="D29" s="8"/>
    </row>
    <row r="30" spans="1:5" x14ac:dyDescent="0.2">
      <c r="A30" s="9" t="s">
        <v>15</v>
      </c>
      <c r="B30" s="8"/>
      <c r="D30" s="8"/>
    </row>
    <row r="31" spans="1:5" x14ac:dyDescent="0.2">
      <c r="A31" s="6" t="s">
        <v>16</v>
      </c>
      <c r="B31" s="15">
        <v>7196962</v>
      </c>
      <c r="D31" s="15">
        <v>6914198</v>
      </c>
    </row>
    <row r="32" spans="1:5" x14ac:dyDescent="0.2">
      <c r="A32" s="6" t="s">
        <v>17</v>
      </c>
      <c r="B32" s="15">
        <v>1497772</v>
      </c>
      <c r="D32" s="15">
        <v>1632419</v>
      </c>
    </row>
    <row r="33" spans="1:7" x14ac:dyDescent="0.2">
      <c r="A33" s="6" t="s">
        <v>172</v>
      </c>
      <c r="B33" s="15">
        <v>65181</v>
      </c>
      <c r="D33" s="15">
        <v>210822</v>
      </c>
      <c r="E33" s="8">
        <f>SUM(D31:D32)</f>
        <v>8546617</v>
      </c>
    </row>
    <row r="34" spans="1:7" x14ac:dyDescent="0.2">
      <c r="A34" s="6" t="s">
        <v>18</v>
      </c>
      <c r="B34" s="15">
        <v>220276</v>
      </c>
      <c r="D34" s="15"/>
    </row>
    <row r="35" spans="1:7" s="12" customFormat="1" x14ac:dyDescent="0.2">
      <c r="A35" s="16" t="s">
        <v>19</v>
      </c>
      <c r="B35" s="17">
        <f>SUM(B31:B34)</f>
        <v>8980191</v>
      </c>
      <c r="D35" s="17">
        <v>8757439</v>
      </c>
      <c r="E35" s="17">
        <f>D35-E33</f>
        <v>210822</v>
      </c>
      <c r="F35" s="18"/>
      <c r="G35" s="18"/>
    </row>
    <row r="36" spans="1:7" x14ac:dyDescent="0.2">
      <c r="A36" s="6"/>
      <c r="B36" s="8"/>
      <c r="D36" s="8"/>
      <c r="F36" s="40"/>
    </row>
    <row r="37" spans="1:7" x14ac:dyDescent="0.2">
      <c r="A37" s="6"/>
      <c r="B37" s="8"/>
      <c r="D37" s="8"/>
    </row>
    <row r="38" spans="1:7" x14ac:dyDescent="0.2">
      <c r="A38" s="9" t="s">
        <v>20</v>
      </c>
      <c r="B38" s="8"/>
      <c r="D38" s="13">
        <v>5311741</v>
      </c>
      <c r="E38" s="13"/>
      <c r="F38" s="18"/>
    </row>
    <row r="39" spans="1:7" x14ac:dyDescent="0.2">
      <c r="A39" s="10" t="s">
        <v>195</v>
      </c>
      <c r="B39" s="7">
        <v>4987665</v>
      </c>
      <c r="D39" s="13"/>
    </row>
    <row r="40" spans="1:7" x14ac:dyDescent="0.2">
      <c r="A40" s="10"/>
      <c r="B40" s="8"/>
      <c r="D40" s="8"/>
    </row>
    <row r="41" spans="1:7" x14ac:dyDescent="0.2">
      <c r="A41" s="9" t="s">
        <v>21</v>
      </c>
      <c r="B41" s="8"/>
      <c r="D41" s="8"/>
    </row>
    <row r="42" spans="1:7" x14ac:dyDescent="0.2">
      <c r="A42" s="10" t="s">
        <v>194</v>
      </c>
      <c r="B42" s="7">
        <v>131607</v>
      </c>
      <c r="D42" s="7">
        <v>345000</v>
      </c>
    </row>
    <row r="43" spans="1:7" x14ac:dyDescent="0.2">
      <c r="A43" s="10" t="s">
        <v>22</v>
      </c>
      <c r="B43" s="7">
        <v>494624</v>
      </c>
      <c r="D43" s="7">
        <f>'Amount To Be Raised'!$D$37</f>
        <v>672686</v>
      </c>
      <c r="G43" s="8"/>
    </row>
    <row r="44" spans="1:7" x14ac:dyDescent="0.2">
      <c r="A44" s="10"/>
      <c r="B44" s="13">
        <f>SUM(B42:B43)</f>
        <v>626231</v>
      </c>
      <c r="D44" s="13">
        <f>SUM(D42:D43)</f>
        <v>1017686</v>
      </c>
      <c r="E44" s="8"/>
    </row>
    <row r="45" spans="1:7" x14ac:dyDescent="0.2">
      <c r="A45" s="9" t="s">
        <v>23</v>
      </c>
      <c r="B45" s="8"/>
      <c r="D45" s="8"/>
    </row>
    <row r="46" spans="1:7" x14ac:dyDescent="0.2">
      <c r="A46" s="10" t="s">
        <v>24</v>
      </c>
      <c r="B46" s="7">
        <v>310000</v>
      </c>
      <c r="D46" s="7">
        <v>315000</v>
      </c>
    </row>
    <row r="47" spans="1:7" x14ac:dyDescent="0.2">
      <c r="A47" s="10" t="s">
        <v>25</v>
      </c>
      <c r="B47" s="7"/>
      <c r="D47" s="7"/>
      <c r="E47" s="8"/>
      <c r="F47" s="8"/>
    </row>
    <row r="48" spans="1:7" x14ac:dyDescent="0.2">
      <c r="A48" s="10" t="s">
        <v>26</v>
      </c>
      <c r="B48" s="7"/>
      <c r="D48" s="7"/>
    </row>
    <row r="49" spans="1:6" x14ac:dyDescent="0.2">
      <c r="A49" s="10" t="s">
        <v>27</v>
      </c>
      <c r="B49" s="7"/>
      <c r="D49" s="7">
        <v>26847</v>
      </c>
    </row>
    <row r="50" spans="1:6" x14ac:dyDescent="0.2">
      <c r="A50" s="10" t="s">
        <v>28</v>
      </c>
      <c r="B50" s="7"/>
      <c r="D50" s="7"/>
    </row>
    <row r="51" spans="1:6" x14ac:dyDescent="0.2">
      <c r="A51" s="10" t="s">
        <v>29</v>
      </c>
      <c r="B51" s="7"/>
      <c r="D51" s="7">
        <v>26862</v>
      </c>
    </row>
    <row r="52" spans="1:6" x14ac:dyDescent="0.2">
      <c r="A52" s="10" t="s">
        <v>30</v>
      </c>
      <c r="B52" s="7"/>
      <c r="D52" s="7"/>
    </row>
    <row r="53" spans="1:6" x14ac:dyDescent="0.2">
      <c r="A53" s="10" t="s">
        <v>31</v>
      </c>
      <c r="B53" s="7">
        <v>122420.14</v>
      </c>
      <c r="D53" s="7">
        <v>122887</v>
      </c>
      <c r="F53" s="127"/>
    </row>
    <row r="54" spans="1:6" x14ac:dyDescent="0.2">
      <c r="A54" s="10" t="s">
        <v>32</v>
      </c>
      <c r="B54" s="19">
        <v>829215.77</v>
      </c>
      <c r="D54" s="19">
        <v>829175</v>
      </c>
      <c r="F54" s="127"/>
    </row>
    <row r="55" spans="1:6" x14ac:dyDescent="0.2">
      <c r="A55" s="10" t="s">
        <v>33</v>
      </c>
      <c r="B55" s="19">
        <v>310491</v>
      </c>
      <c r="D55" s="19">
        <v>320679</v>
      </c>
    </row>
    <row r="56" spans="1:6" x14ac:dyDescent="0.2">
      <c r="A56" s="10" t="s">
        <v>34</v>
      </c>
      <c r="B56" s="7" t="e">
        <f>#REF!</f>
        <v>#REF!</v>
      </c>
      <c r="D56" s="7">
        <f>Expenditures!$P$368</f>
        <v>1592374</v>
      </c>
    </row>
    <row r="57" spans="1:6" x14ac:dyDescent="0.2">
      <c r="A57" s="10" t="s">
        <v>35</v>
      </c>
      <c r="B57" s="7">
        <v>0</v>
      </c>
      <c r="D57" s="7"/>
    </row>
    <row r="58" spans="1:6" x14ac:dyDescent="0.2">
      <c r="B58" s="13" t="e">
        <f>SUM(B46:B57)</f>
        <v>#REF!</v>
      </c>
      <c r="D58" s="13">
        <f>SUM(D46:D57)</f>
        <v>3233824</v>
      </c>
      <c r="F58" s="8"/>
    </row>
    <row r="59" spans="1:6" x14ac:dyDescent="0.2">
      <c r="B59" s="7"/>
      <c r="D59" s="7"/>
    </row>
    <row r="60" spans="1:6" s="12" customFormat="1" x14ac:dyDescent="0.2">
      <c r="A60" s="12" t="s">
        <v>36</v>
      </c>
      <c r="B60" s="13" t="e">
        <f>SUM(B26,B35,B39,B44,B58)</f>
        <v>#REF!</v>
      </c>
      <c r="D60" s="13">
        <f>SUM(D26,D35,D38,D44,D58)</f>
        <v>41277973.174999997</v>
      </c>
    </row>
    <row r="62" spans="1:6" x14ac:dyDescent="0.2">
      <c r="D62" s="8">
        <f>D60-D43</f>
        <v>40605287.174999997</v>
      </c>
    </row>
  </sheetData>
  <sheetProtection selectLockedCells="1"/>
  <phoneticPr fontId="0" type="noConversion"/>
  <printOptions horizontalCentered="1"/>
  <pageMargins left="0.5" right="0.5" top="1" bottom="1" header="0.5" footer="0.5"/>
  <pageSetup scale="85" orientation="portrait" r:id="rId1"/>
  <headerFooter alignWithMargins="0">
    <oddHeader>&amp;C&amp;"Times New Roman,Bold"&amp;12FISCAL YEAR 2016
 TOWN MANAGER  BUDGET RECOMMENDATION</oddHeader>
    <oddFooter>&amp;C&amp;D&amp;RPage &amp;P</oddFooter>
  </headerFooter>
  <rowBreaks count="1" manualBreakCount="1">
    <brk id="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4" zoomScale="80" zoomScaleNormal="80" workbookViewId="0">
      <selection activeCell="D28" sqref="D28"/>
    </sheetView>
  </sheetViews>
  <sheetFormatPr defaultColWidth="9.140625" defaultRowHeight="12.75" x14ac:dyDescent="0.2"/>
  <cols>
    <col min="1" max="1" width="56.28515625" style="12" bestFit="1" customWidth="1"/>
    <col min="2" max="2" width="15.85546875" style="1" hidden="1" customWidth="1"/>
    <col min="3" max="3" width="9.140625" style="1"/>
    <col min="4" max="4" width="15.85546875" style="1" customWidth="1"/>
    <col min="5" max="5" width="9.140625" style="1"/>
    <col min="6" max="6" width="10.5703125" style="1" customWidth="1"/>
    <col min="7" max="16384" width="9.140625" style="1"/>
  </cols>
  <sheetData>
    <row r="1" spans="1:6" x14ac:dyDescent="0.2">
      <c r="A1" s="12" t="s">
        <v>37</v>
      </c>
    </row>
    <row r="3" spans="1:6" x14ac:dyDescent="0.2">
      <c r="A3" s="9" t="s">
        <v>204</v>
      </c>
      <c r="B3" s="2" t="s">
        <v>176</v>
      </c>
      <c r="D3" s="2" t="s">
        <v>191</v>
      </c>
    </row>
    <row r="4" spans="1:6" x14ac:dyDescent="0.2">
      <c r="B4" s="4" t="s">
        <v>177</v>
      </c>
      <c r="D4" s="5" t="s">
        <v>189</v>
      </c>
    </row>
    <row r="8" spans="1:6" x14ac:dyDescent="0.2">
      <c r="A8" s="16" t="s">
        <v>205</v>
      </c>
      <c r="B8" s="13">
        <f>Expenditures!$O$370</f>
        <v>40642318.280000001</v>
      </c>
      <c r="D8" s="13">
        <f>Expenditures!$P$370</f>
        <v>39452783</v>
      </c>
    </row>
    <row r="9" spans="1:6" x14ac:dyDescent="0.2">
      <c r="A9" s="6"/>
    </row>
    <row r="10" spans="1:6" x14ac:dyDescent="0.2">
      <c r="A10" s="16" t="s">
        <v>39</v>
      </c>
    </row>
    <row r="11" spans="1:6" x14ac:dyDescent="0.2">
      <c r="A11" s="35"/>
    </row>
    <row r="12" spans="1:6" x14ac:dyDescent="0.2">
      <c r="A12" s="35" t="s">
        <v>190</v>
      </c>
      <c r="B12" s="7">
        <v>125000</v>
      </c>
      <c r="D12" s="7">
        <v>125000</v>
      </c>
    </row>
    <row r="13" spans="1:6" x14ac:dyDescent="0.2">
      <c r="A13" s="35" t="s">
        <v>196</v>
      </c>
      <c r="B13" s="7">
        <v>125000</v>
      </c>
      <c r="D13" s="7">
        <v>125000</v>
      </c>
    </row>
    <row r="14" spans="1:6" x14ac:dyDescent="0.2">
      <c r="A14" s="35" t="s">
        <v>203</v>
      </c>
      <c r="B14" s="36">
        <v>303479</v>
      </c>
      <c r="D14" s="36">
        <v>303479</v>
      </c>
      <c r="F14" s="8"/>
    </row>
    <row r="16" spans="1:6" x14ac:dyDescent="0.2">
      <c r="A16" s="35" t="s">
        <v>198</v>
      </c>
      <c r="B16" s="1">
        <v>1180</v>
      </c>
      <c r="D16" s="1">
        <v>1180</v>
      </c>
    </row>
    <row r="17" spans="1:6" x14ac:dyDescent="0.2">
      <c r="A17" s="35"/>
      <c r="B17" s="36"/>
      <c r="D17" s="36"/>
    </row>
    <row r="18" spans="1:6" x14ac:dyDescent="0.2">
      <c r="A18" s="35"/>
      <c r="B18" s="8"/>
    </row>
    <row r="19" spans="1:6" x14ac:dyDescent="0.2">
      <c r="A19" s="35"/>
    </row>
    <row r="20" spans="1:6" x14ac:dyDescent="0.2">
      <c r="A20" s="35"/>
    </row>
    <row r="21" spans="1:6" x14ac:dyDescent="0.2">
      <c r="A21" s="37" t="s">
        <v>40</v>
      </c>
      <c r="B21" s="13">
        <f>SUM(B11:B20)</f>
        <v>554659</v>
      </c>
      <c r="D21" s="13">
        <f>SUM(D11:D20)</f>
        <v>554659</v>
      </c>
      <c r="F21" s="8"/>
    </row>
    <row r="22" spans="1:6" x14ac:dyDescent="0.2">
      <c r="A22" s="35"/>
    </row>
    <row r="23" spans="1:6" x14ac:dyDescent="0.2">
      <c r="A23" s="16" t="s">
        <v>41</v>
      </c>
    </row>
    <row r="24" spans="1:6" x14ac:dyDescent="0.2">
      <c r="A24" s="35"/>
      <c r="B24" s="7"/>
      <c r="D24" s="7"/>
    </row>
    <row r="25" spans="1:6" x14ac:dyDescent="0.2">
      <c r="A25" s="35" t="s">
        <v>182</v>
      </c>
      <c r="B25" s="36">
        <v>93027</v>
      </c>
      <c r="D25" s="36">
        <v>93027</v>
      </c>
    </row>
    <row r="26" spans="1:6" x14ac:dyDescent="0.2">
      <c r="A26" s="35" t="s">
        <v>183</v>
      </c>
      <c r="B26" s="36">
        <v>20000</v>
      </c>
      <c r="D26" s="36">
        <v>20000</v>
      </c>
    </row>
    <row r="27" spans="1:6" x14ac:dyDescent="0.2">
      <c r="A27" s="35" t="s">
        <v>208</v>
      </c>
      <c r="D27" s="36">
        <v>5000</v>
      </c>
    </row>
    <row r="29" spans="1:6" x14ac:dyDescent="0.2">
      <c r="A29" s="35"/>
      <c r="B29" s="36"/>
      <c r="D29" s="36"/>
    </row>
    <row r="30" spans="1:6" x14ac:dyDescent="0.2">
      <c r="A30" s="35"/>
    </row>
    <row r="31" spans="1:6" x14ac:dyDescent="0.2">
      <c r="A31" s="35"/>
    </row>
    <row r="32" spans="1:6" x14ac:dyDescent="0.2">
      <c r="A32" s="35"/>
    </row>
    <row r="33" spans="1:5" x14ac:dyDescent="0.2">
      <c r="A33" s="35"/>
    </row>
    <row r="34" spans="1:5" x14ac:dyDescent="0.2">
      <c r="A34" s="35"/>
    </row>
    <row r="35" spans="1:5" x14ac:dyDescent="0.2">
      <c r="A35" s="37" t="s">
        <v>42</v>
      </c>
      <c r="B35" s="13">
        <f>SUM(B24:B33)</f>
        <v>113027</v>
      </c>
      <c r="D35" s="13">
        <f>SUM(D24:D33)</f>
        <v>118027</v>
      </c>
    </row>
    <row r="36" spans="1:5" x14ac:dyDescent="0.2">
      <c r="A36" s="35"/>
    </row>
    <row r="37" spans="1:5" x14ac:dyDescent="0.2">
      <c r="A37" s="37" t="s">
        <v>43</v>
      </c>
      <c r="B37" s="13">
        <f>B35+B21</f>
        <v>667686</v>
      </c>
      <c r="D37" s="13">
        <f>D35+D21</f>
        <v>672686</v>
      </c>
    </row>
    <row r="38" spans="1:5" x14ac:dyDescent="0.2">
      <c r="A38" s="9"/>
      <c r="B38" s="7"/>
      <c r="D38" s="7"/>
    </row>
    <row r="39" spans="1:5" s="12" customFormat="1" x14ac:dyDescent="0.2">
      <c r="A39" s="12" t="s">
        <v>44</v>
      </c>
      <c r="B39" s="13">
        <f>SUM(B8+B21+B35)</f>
        <v>41310004.280000001</v>
      </c>
      <c r="D39" s="13">
        <f>SUM(D8+D21+D35)</f>
        <v>40125469</v>
      </c>
    </row>
    <row r="40" spans="1:5" x14ac:dyDescent="0.2">
      <c r="B40" s="7"/>
      <c r="D40" s="7"/>
    </row>
    <row r="41" spans="1:5" x14ac:dyDescent="0.2">
      <c r="A41" s="9" t="s">
        <v>45</v>
      </c>
      <c r="B41" s="7">
        <v>355987</v>
      </c>
      <c r="D41" s="7">
        <v>309932</v>
      </c>
      <c r="E41" s="38"/>
    </row>
    <row r="42" spans="1:5" x14ac:dyDescent="0.2">
      <c r="A42" s="39"/>
      <c r="B42" s="7"/>
      <c r="D42" s="7"/>
    </row>
    <row r="43" spans="1:5" x14ac:dyDescent="0.2">
      <c r="A43" s="9" t="s">
        <v>46</v>
      </c>
      <c r="B43" s="7">
        <v>3441</v>
      </c>
      <c r="D43" s="7">
        <v>3441</v>
      </c>
    </row>
    <row r="44" spans="1:5" x14ac:dyDescent="0.2">
      <c r="A44" s="39"/>
      <c r="B44" s="7"/>
      <c r="D44" s="7"/>
    </row>
    <row r="45" spans="1:5" x14ac:dyDescent="0.2">
      <c r="A45" s="9" t="s">
        <v>47</v>
      </c>
      <c r="B45" s="7">
        <v>23831</v>
      </c>
      <c r="D45" s="7">
        <v>23831</v>
      </c>
    </row>
    <row r="46" spans="1:5" x14ac:dyDescent="0.2">
      <c r="A46" s="39"/>
      <c r="B46" s="7"/>
      <c r="D46" s="7"/>
    </row>
    <row r="47" spans="1:5" x14ac:dyDescent="0.2">
      <c r="A47" s="9" t="s">
        <v>48</v>
      </c>
      <c r="B47" s="7">
        <v>315000</v>
      </c>
      <c r="D47" s="7">
        <v>315000</v>
      </c>
    </row>
    <row r="48" spans="1:5" x14ac:dyDescent="0.2">
      <c r="A48" s="39"/>
      <c r="B48" s="7"/>
      <c r="D48" s="7"/>
    </row>
    <row r="49" spans="1:4" x14ac:dyDescent="0.2">
      <c r="A49" s="9" t="s">
        <v>49</v>
      </c>
      <c r="B49" s="7">
        <v>250000</v>
      </c>
      <c r="D49" s="7">
        <v>250000</v>
      </c>
    </row>
    <row r="50" spans="1:4" x14ac:dyDescent="0.2">
      <c r="A50" s="39"/>
      <c r="B50" s="7"/>
      <c r="D50" s="7"/>
    </row>
    <row r="51" spans="1:4" x14ac:dyDescent="0.2">
      <c r="A51" s="9" t="s">
        <v>50</v>
      </c>
      <c r="B51" s="7">
        <v>250000</v>
      </c>
      <c r="D51" s="7">
        <v>250000</v>
      </c>
    </row>
    <row r="52" spans="1:4" x14ac:dyDescent="0.2">
      <c r="A52" s="1"/>
    </row>
    <row r="53" spans="1:4" s="12" customFormat="1" x14ac:dyDescent="0.2">
      <c r="A53" s="12" t="s">
        <v>51</v>
      </c>
      <c r="B53" s="13">
        <f>SUM(B39,B41:B51)</f>
        <v>42508263.280000001</v>
      </c>
      <c r="D53" s="13">
        <f>SUM(D39,D41:D51)</f>
        <v>41277673</v>
      </c>
    </row>
    <row r="57" spans="1:4" x14ac:dyDescent="0.2">
      <c r="B57" s="8">
        <f>B51</f>
        <v>250000</v>
      </c>
      <c r="D57" s="8"/>
    </row>
  </sheetData>
  <phoneticPr fontId="0" type="noConversion"/>
  <printOptions horizontalCentered="1"/>
  <pageMargins left="0.5" right="0.5" top="1" bottom="1" header="0.5" footer="0.5"/>
  <pageSetup scale="98" orientation="portrait" r:id="rId1"/>
  <headerFooter alignWithMargins="0">
    <oddHeader xml:space="preserve">&amp;C&amp;"Times New Roman,Bold"&amp;12FISCAL YEAR 2016 TOWN MANAGER
BUDGET RECOMMENDATION
</oddHeader>
    <oddFooter xml:space="preserve">&amp;L&amp;D&amp;R&amp;[Page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1"/>
  <sheetViews>
    <sheetView topLeftCell="A313" zoomScale="80" zoomScaleNormal="80" workbookViewId="0">
      <selection activeCell="P194" sqref="P194"/>
    </sheetView>
  </sheetViews>
  <sheetFormatPr defaultColWidth="9.140625" defaultRowHeight="12.75" x14ac:dyDescent="0.2"/>
  <cols>
    <col min="1" max="1" width="8.5703125" style="20" customWidth="1"/>
    <col min="2" max="2" width="56.85546875" style="20" customWidth="1"/>
    <col min="3" max="3" width="14.7109375" style="67" hidden="1" customWidth="1"/>
    <col min="4" max="4" width="16.85546875" style="67" hidden="1" customWidth="1"/>
    <col min="5" max="5" width="16.5703125" style="67" hidden="1" customWidth="1"/>
    <col min="6" max="6" width="16.7109375" style="74" hidden="1" customWidth="1"/>
    <col min="7" max="8" width="16.5703125" style="74" hidden="1" customWidth="1"/>
    <col min="9" max="10" width="16.5703125" style="84" hidden="1" customWidth="1"/>
    <col min="11" max="11" width="20.5703125" style="67" hidden="1" customWidth="1"/>
    <col min="12" max="12" width="17.140625" style="67" hidden="1" customWidth="1"/>
    <col min="13" max="13" width="17.140625" style="67" customWidth="1"/>
    <col min="14" max="14" width="16.5703125" style="67" customWidth="1"/>
    <col min="15" max="15" width="21.7109375" style="67" customWidth="1"/>
    <col min="16" max="16" width="21.7109375" style="67" bestFit="1" customWidth="1"/>
    <col min="17" max="17" width="24.7109375" style="67" customWidth="1"/>
    <col min="18" max="18" width="17.85546875" style="92" customWidth="1"/>
    <col min="19" max="19" width="12" style="46" customWidth="1"/>
    <col min="20" max="20" width="0" style="20" hidden="1" customWidth="1"/>
    <col min="21" max="21" width="2.85546875" style="20" customWidth="1"/>
    <col min="22" max="22" width="14.85546875" style="20" hidden="1" customWidth="1"/>
    <col min="23" max="23" width="16" style="20" customWidth="1"/>
    <col min="24" max="24" width="11.42578125" style="20" bestFit="1" customWidth="1"/>
    <col min="25" max="16384" width="9.140625" style="20"/>
  </cols>
  <sheetData>
    <row r="1" spans="1:24" x14ac:dyDescent="0.2">
      <c r="A1" s="23" t="s">
        <v>52</v>
      </c>
      <c r="B1" s="41">
        <v>0</v>
      </c>
      <c r="C1" s="42" t="s">
        <v>53</v>
      </c>
      <c r="D1" s="42" t="s">
        <v>54</v>
      </c>
      <c r="E1" s="42" t="s">
        <v>55</v>
      </c>
      <c r="F1" s="43" t="s">
        <v>56</v>
      </c>
      <c r="G1" s="43" t="s">
        <v>57</v>
      </c>
      <c r="H1" s="43" t="s">
        <v>58</v>
      </c>
      <c r="I1" s="44" t="s">
        <v>59</v>
      </c>
      <c r="J1" s="44" t="s">
        <v>174</v>
      </c>
      <c r="K1" s="43" t="s">
        <v>0</v>
      </c>
      <c r="L1" s="43" t="s">
        <v>171</v>
      </c>
      <c r="M1" s="43" t="s">
        <v>176</v>
      </c>
      <c r="N1" s="43" t="s">
        <v>185</v>
      </c>
      <c r="O1" s="43" t="s">
        <v>191</v>
      </c>
      <c r="P1" s="43" t="s">
        <v>191</v>
      </c>
      <c r="Q1" s="43" t="s">
        <v>191</v>
      </c>
      <c r="R1" s="45"/>
    </row>
    <row r="2" spans="1:24" ht="37.5" customHeight="1" thickBot="1" x14ac:dyDescent="0.25">
      <c r="A2" s="24" t="s">
        <v>60</v>
      </c>
      <c r="B2" s="24" t="s">
        <v>61</v>
      </c>
      <c r="C2" s="47" t="s">
        <v>62</v>
      </c>
      <c r="D2" s="47" t="s">
        <v>62</v>
      </c>
      <c r="E2" s="47" t="s">
        <v>62</v>
      </c>
      <c r="F2" s="48" t="s">
        <v>62</v>
      </c>
      <c r="G2" s="48" t="s">
        <v>62</v>
      </c>
      <c r="H2" s="48" t="s">
        <v>62</v>
      </c>
      <c r="I2" s="49" t="s">
        <v>62</v>
      </c>
      <c r="J2" s="49" t="s">
        <v>62</v>
      </c>
      <c r="K2" s="47" t="s">
        <v>62</v>
      </c>
      <c r="L2" s="47" t="s">
        <v>62</v>
      </c>
      <c r="M2" s="47" t="s">
        <v>62</v>
      </c>
      <c r="N2" s="47" t="s">
        <v>186</v>
      </c>
      <c r="O2" s="47" t="s">
        <v>178</v>
      </c>
      <c r="P2" s="47" t="s">
        <v>179</v>
      </c>
      <c r="Q2" s="50" t="s">
        <v>184</v>
      </c>
      <c r="R2" s="131" t="s">
        <v>187</v>
      </c>
      <c r="S2" s="131"/>
      <c r="W2" s="131" t="s">
        <v>188</v>
      </c>
      <c r="X2" s="131"/>
    </row>
    <row r="3" spans="1:24" x14ac:dyDescent="0.2">
      <c r="A3" s="25"/>
      <c r="B3" s="25"/>
      <c r="C3" s="51"/>
      <c r="D3" s="52"/>
      <c r="E3" s="50"/>
      <c r="F3" s="53"/>
      <c r="G3" s="53"/>
      <c r="H3" s="53"/>
      <c r="I3" s="54"/>
      <c r="J3" s="54"/>
      <c r="K3" s="50"/>
      <c r="L3" s="50"/>
      <c r="M3" s="50"/>
      <c r="N3" s="50"/>
      <c r="O3" s="52"/>
      <c r="P3" s="52"/>
      <c r="Q3" s="50"/>
      <c r="R3" s="55"/>
    </row>
    <row r="4" spans="1:24" x14ac:dyDescent="0.2">
      <c r="A4" s="25"/>
      <c r="B4" s="14" t="s">
        <v>63</v>
      </c>
      <c r="C4" s="51"/>
      <c r="D4" s="52"/>
      <c r="E4" s="50"/>
      <c r="F4" s="53"/>
      <c r="G4" s="53"/>
      <c r="H4" s="53"/>
      <c r="I4" s="54"/>
      <c r="J4" s="54"/>
      <c r="K4" s="50"/>
      <c r="L4" s="50"/>
      <c r="M4" s="50"/>
      <c r="N4" s="50"/>
      <c r="O4" s="52"/>
      <c r="P4" s="52"/>
      <c r="Q4" s="50"/>
      <c r="R4" s="55"/>
    </row>
    <row r="5" spans="1:24" x14ac:dyDescent="0.2">
      <c r="A5" s="26"/>
      <c r="B5" s="27" t="s">
        <v>64</v>
      </c>
      <c r="C5" s="56">
        <v>200</v>
      </c>
      <c r="D5" s="56">
        <v>200</v>
      </c>
      <c r="E5" s="56">
        <v>200</v>
      </c>
      <c r="F5" s="56">
        <v>200</v>
      </c>
      <c r="G5" s="56">
        <v>200</v>
      </c>
      <c r="H5" s="56">
        <v>200</v>
      </c>
      <c r="I5" s="57">
        <v>200</v>
      </c>
      <c r="J5" s="57">
        <v>200</v>
      </c>
      <c r="K5" s="56">
        <v>200</v>
      </c>
      <c r="L5" s="56">
        <v>200</v>
      </c>
      <c r="M5" s="56">
        <f>[1]Cover!B12</f>
        <v>200</v>
      </c>
      <c r="N5" s="56">
        <f>[1]Cover!C12</f>
        <v>200</v>
      </c>
      <c r="O5" s="56">
        <f>[1]Cover!D12</f>
        <v>200</v>
      </c>
      <c r="P5" s="56">
        <f>[1]Cover!E12</f>
        <v>200</v>
      </c>
      <c r="Q5" s="56">
        <v>0</v>
      </c>
      <c r="R5" s="58"/>
    </row>
    <row r="6" spans="1:24" x14ac:dyDescent="0.2">
      <c r="A6" s="26">
        <v>1</v>
      </c>
      <c r="B6" s="27" t="s">
        <v>65</v>
      </c>
      <c r="C6" s="51">
        <v>200</v>
      </c>
      <c r="D6" s="59">
        <f>SUM(D5:D5)</f>
        <v>200</v>
      </c>
      <c r="E6" s="60">
        <f t="shared" ref="E6:N6" si="0">SUM(E5)</f>
        <v>200</v>
      </c>
      <c r="F6" s="61">
        <f t="shared" si="0"/>
        <v>200</v>
      </c>
      <c r="G6" s="61">
        <f t="shared" si="0"/>
        <v>200</v>
      </c>
      <c r="H6" s="60">
        <f t="shared" si="0"/>
        <v>200</v>
      </c>
      <c r="I6" s="62">
        <f t="shared" si="0"/>
        <v>200</v>
      </c>
      <c r="J6" s="62">
        <f t="shared" si="0"/>
        <v>200</v>
      </c>
      <c r="K6" s="60">
        <f t="shared" si="0"/>
        <v>200</v>
      </c>
      <c r="L6" s="41">
        <f t="shared" si="0"/>
        <v>200</v>
      </c>
      <c r="M6" s="41">
        <f>SUM(M5)</f>
        <v>200</v>
      </c>
      <c r="N6" s="60">
        <f t="shared" si="0"/>
        <v>200</v>
      </c>
      <c r="O6" s="60">
        <f>SUM(O5)</f>
        <v>200</v>
      </c>
      <c r="P6" s="60">
        <f>SUM(P5)</f>
        <v>200</v>
      </c>
      <c r="Q6" s="60">
        <f>SUM(Q5)</f>
        <v>0</v>
      </c>
      <c r="R6" s="63">
        <f>O6-N6</f>
        <v>0</v>
      </c>
      <c r="S6" s="64">
        <f>R6/N6</f>
        <v>0</v>
      </c>
      <c r="W6" s="63">
        <f>P6-N6</f>
        <v>0</v>
      </c>
      <c r="X6" s="64">
        <f>W6/N6</f>
        <v>0</v>
      </c>
    </row>
    <row r="7" spans="1:24" x14ac:dyDescent="0.2">
      <c r="A7" s="26"/>
      <c r="B7" s="27"/>
      <c r="C7" s="51"/>
      <c r="D7" s="59"/>
      <c r="E7" s="59"/>
      <c r="F7" s="65"/>
      <c r="G7" s="65"/>
      <c r="H7" s="65"/>
      <c r="I7" s="66"/>
      <c r="J7" s="66"/>
      <c r="K7" s="59"/>
      <c r="L7" s="41"/>
      <c r="M7" s="41"/>
      <c r="N7" s="59"/>
      <c r="O7" s="59"/>
      <c r="P7" s="59"/>
      <c r="Q7" s="59"/>
      <c r="R7" s="58"/>
    </row>
    <row r="8" spans="1:24" x14ac:dyDescent="0.2">
      <c r="A8" s="26"/>
      <c r="B8" s="14" t="s">
        <v>66</v>
      </c>
      <c r="C8" s="51"/>
      <c r="D8" s="59"/>
      <c r="F8" s="65"/>
      <c r="G8" s="65"/>
      <c r="H8" s="65"/>
      <c r="I8" s="66"/>
      <c r="J8" s="66"/>
      <c r="K8" s="59"/>
      <c r="L8" s="41"/>
      <c r="M8" s="41"/>
      <c r="N8" s="59"/>
      <c r="O8" s="59"/>
      <c r="P8" s="59"/>
      <c r="Q8" s="59"/>
      <c r="R8" s="58"/>
    </row>
    <row r="9" spans="1:24" x14ac:dyDescent="0.2">
      <c r="A9" s="26"/>
      <c r="B9" s="27" t="s">
        <v>64</v>
      </c>
      <c r="C9" s="51" t="e">
        <v>#REF!</v>
      </c>
      <c r="D9" s="51" t="e">
        <v>#REF!</v>
      </c>
      <c r="E9" s="51">
        <v>16000</v>
      </c>
      <c r="F9" s="51">
        <v>16800</v>
      </c>
      <c r="G9" s="51">
        <v>17718</v>
      </c>
      <c r="H9" s="51">
        <v>15550</v>
      </c>
      <c r="I9" s="68">
        <v>16800</v>
      </c>
      <c r="J9" s="68">
        <v>16800</v>
      </c>
      <c r="K9" s="51">
        <v>16800</v>
      </c>
      <c r="L9" s="41">
        <v>16800</v>
      </c>
      <c r="M9" s="41">
        <f>[2]Cover!B12</f>
        <v>16800</v>
      </c>
      <c r="N9" s="41">
        <f>[2]Cover!C12</f>
        <v>16800</v>
      </c>
      <c r="O9" s="41">
        <f>[2]Cover!D12</f>
        <v>16800</v>
      </c>
      <c r="P9" s="41">
        <f>[2]Cover!E12</f>
        <v>16800</v>
      </c>
      <c r="Q9" s="41">
        <v>0</v>
      </c>
      <c r="R9" s="69"/>
    </row>
    <row r="10" spans="1:24" x14ac:dyDescent="0.2">
      <c r="A10" s="26"/>
      <c r="B10" s="27" t="s">
        <v>67</v>
      </c>
      <c r="C10" s="51">
        <f>726.99+1471.53</f>
        <v>2198.52</v>
      </c>
      <c r="D10" s="59">
        <v>2700</v>
      </c>
      <c r="E10" s="59">
        <v>2478</v>
      </c>
      <c r="F10" s="65">
        <v>1520.05</v>
      </c>
      <c r="G10" s="65">
        <f>635.96+191.11+565+50</f>
        <v>1442.0700000000002</v>
      </c>
      <c r="H10" s="65">
        <f>984.47+206.3</f>
        <v>1190.77</v>
      </c>
      <c r="I10" s="66">
        <v>1216</v>
      </c>
      <c r="J10" s="66">
        <v>1178</v>
      </c>
      <c r="K10" s="59">
        <f>994.69+233.62</f>
        <v>1228.31</v>
      </c>
      <c r="L10" s="41">
        <v>1212</v>
      </c>
      <c r="M10" s="41">
        <v>524.96</v>
      </c>
      <c r="N10" s="41">
        <v>1250</v>
      </c>
      <c r="O10" s="41">
        <f>[2]Cover!$D$15+[2]Cover!$D$18+[2]Cover!$D$21+[2]Cover!$D$24</f>
        <v>1250</v>
      </c>
      <c r="P10" s="41">
        <f>[2]Cover!$E$15+[2]Cover!$E$18+[2]Cover!$E$21+[2]Cover!$E$24</f>
        <v>1250</v>
      </c>
      <c r="Q10" s="41">
        <v>0</v>
      </c>
      <c r="R10" s="58"/>
    </row>
    <row r="11" spans="1:24" x14ac:dyDescent="0.2">
      <c r="A11" s="26"/>
      <c r="B11" s="27" t="s">
        <v>68</v>
      </c>
      <c r="C11" s="56"/>
      <c r="D11" s="70">
        <v>0</v>
      </c>
      <c r="E11" s="70">
        <v>0</v>
      </c>
      <c r="F11" s="71">
        <v>0</v>
      </c>
      <c r="G11" s="71">
        <v>0</v>
      </c>
      <c r="H11" s="71"/>
      <c r="I11" s="72"/>
      <c r="J11" s="72">
        <v>0</v>
      </c>
      <c r="K11" s="70">
        <v>0</v>
      </c>
      <c r="L11" s="73">
        <v>0</v>
      </c>
      <c r="M11" s="73">
        <f>[2]Cover!B27</f>
        <v>0</v>
      </c>
      <c r="N11" s="70">
        <f>[2]Cover!C27</f>
        <v>0</v>
      </c>
      <c r="O11" s="70">
        <f>[2]Cover!D27</f>
        <v>0</v>
      </c>
      <c r="P11" s="70">
        <f>[2]Cover!E27</f>
        <v>0</v>
      </c>
      <c r="Q11" s="70">
        <v>0</v>
      </c>
      <c r="R11" s="58"/>
    </row>
    <row r="12" spans="1:24" x14ac:dyDescent="0.2">
      <c r="A12" s="26">
        <v>2</v>
      </c>
      <c r="B12" s="27" t="s">
        <v>65</v>
      </c>
      <c r="C12" s="51">
        <v>18998.52</v>
      </c>
      <c r="D12" s="59" t="e">
        <f t="shared" ref="D12:N12" si="1">SUM(D9:D11)</f>
        <v>#REF!</v>
      </c>
      <c r="E12" s="60">
        <f t="shared" si="1"/>
        <v>18478</v>
      </c>
      <c r="F12" s="61">
        <f t="shared" si="1"/>
        <v>18320.05</v>
      </c>
      <c r="G12" s="61">
        <f t="shared" si="1"/>
        <v>19160.07</v>
      </c>
      <c r="H12" s="60">
        <f t="shared" si="1"/>
        <v>16740.77</v>
      </c>
      <c r="I12" s="62">
        <f t="shared" si="1"/>
        <v>18016</v>
      </c>
      <c r="J12" s="62">
        <f t="shared" si="1"/>
        <v>17978</v>
      </c>
      <c r="K12" s="60">
        <f t="shared" si="1"/>
        <v>18028.310000000001</v>
      </c>
      <c r="L12" s="41">
        <f t="shared" si="1"/>
        <v>18012</v>
      </c>
      <c r="M12" s="41">
        <f>SUM(M9:M11)</f>
        <v>17324.96</v>
      </c>
      <c r="N12" s="60">
        <f t="shared" si="1"/>
        <v>18050</v>
      </c>
      <c r="O12" s="60">
        <f>SUM(O9:O11)</f>
        <v>18050</v>
      </c>
      <c r="P12" s="60">
        <f>SUM(P9:P11)</f>
        <v>18050</v>
      </c>
      <c r="Q12" s="60">
        <f>SUM(Q9:Q11)</f>
        <v>0</v>
      </c>
      <c r="R12" s="63">
        <f>O12-N12</f>
        <v>0</v>
      </c>
      <c r="S12" s="64">
        <f>R12/N12</f>
        <v>0</v>
      </c>
      <c r="W12" s="63">
        <f>P12-N12</f>
        <v>0</v>
      </c>
      <c r="X12" s="64">
        <f>W12/N12</f>
        <v>0</v>
      </c>
    </row>
    <row r="13" spans="1:24" x14ac:dyDescent="0.2">
      <c r="A13" s="26"/>
      <c r="B13" s="27"/>
      <c r="C13" s="51"/>
      <c r="D13" s="59"/>
      <c r="E13" s="59"/>
      <c r="F13" s="65"/>
      <c r="G13" s="65"/>
      <c r="H13" s="65"/>
      <c r="I13" s="66"/>
      <c r="J13" s="66"/>
      <c r="K13" s="59"/>
      <c r="L13" s="41"/>
      <c r="M13" s="41"/>
      <c r="N13" s="59"/>
      <c r="O13" s="59"/>
      <c r="P13" s="59"/>
      <c r="Q13" s="59"/>
      <c r="R13" s="58"/>
    </row>
    <row r="14" spans="1:24" x14ac:dyDescent="0.2">
      <c r="A14" s="26"/>
      <c r="B14" s="14" t="s">
        <v>69</v>
      </c>
      <c r="C14" s="51"/>
      <c r="D14" s="59"/>
      <c r="E14" s="59"/>
      <c r="F14" s="65"/>
      <c r="G14" s="65"/>
      <c r="H14" s="65"/>
      <c r="I14" s="66"/>
      <c r="J14" s="66"/>
      <c r="K14" s="59" t="s">
        <v>38</v>
      </c>
      <c r="L14" s="41"/>
      <c r="M14" s="41"/>
      <c r="N14" s="59" t="s">
        <v>38</v>
      </c>
      <c r="O14" s="59" t="s">
        <v>38</v>
      </c>
      <c r="P14" s="59" t="s">
        <v>38</v>
      </c>
      <c r="Q14" s="59"/>
      <c r="R14" s="58"/>
    </row>
    <row r="15" spans="1:24" x14ac:dyDescent="0.2">
      <c r="A15" s="26"/>
      <c r="B15" s="27" t="s">
        <v>64</v>
      </c>
      <c r="C15" s="51">
        <v>127890.38</v>
      </c>
      <c r="D15" s="51">
        <v>155922</v>
      </c>
      <c r="E15" s="51">
        <v>148348</v>
      </c>
      <c r="F15" s="51">
        <v>153786.23000000001</v>
      </c>
      <c r="G15" s="51">
        <v>201331.33000000002</v>
      </c>
      <c r="H15" s="51">
        <f>110000+68331.34+0+1953.14</f>
        <v>180284.48</v>
      </c>
      <c r="I15" s="68">
        <v>180579</v>
      </c>
      <c r="J15" s="68">
        <v>170775</v>
      </c>
      <c r="K15" s="51">
        <f>110000+58393.06+0+2939.88</f>
        <v>171332.94</v>
      </c>
      <c r="L15" s="41">
        <f>[3]Cover!$B$12</f>
        <v>162500</v>
      </c>
      <c r="M15" s="41">
        <f>[3]Cover!$B$12</f>
        <v>162500</v>
      </c>
      <c r="N15" s="41">
        <f>[3]Cover!$C$12</f>
        <v>165750</v>
      </c>
      <c r="O15" s="41">
        <f>[3]Cover!$D$12</f>
        <v>170400</v>
      </c>
      <c r="P15" s="41">
        <f>[3]Cover!$E$12</f>
        <v>170400</v>
      </c>
      <c r="Q15" s="41">
        <v>0</v>
      </c>
      <c r="R15" s="58"/>
    </row>
    <row r="16" spans="1:24" x14ac:dyDescent="0.2">
      <c r="A16" s="26"/>
      <c r="B16" s="27" t="s">
        <v>67</v>
      </c>
      <c r="C16" s="51">
        <f>2237.54+911.2+7044.13</f>
        <v>10192.869999999999</v>
      </c>
      <c r="D16" s="59">
        <v>2500</v>
      </c>
      <c r="E16" s="59">
        <v>17046</v>
      </c>
      <c r="F16" s="65">
        <v>13179.25</v>
      </c>
      <c r="G16" s="65">
        <f>2556.56+1633.68+1740+212.47+783.75+5485.12</f>
        <v>12411.58</v>
      </c>
      <c r="H16" s="65">
        <f>191374.66-H15</f>
        <v>11090.179999999993</v>
      </c>
      <c r="I16" s="66">
        <v>9604</v>
      </c>
      <c r="J16" s="66">
        <v>9883</v>
      </c>
      <c r="K16" s="59">
        <f>2528.88+1859.324+86.96+504.47+4204.96+500</f>
        <v>9684.594000000001</v>
      </c>
      <c r="L16" s="41">
        <f>[3]Cover!$B$15+[3]Cover!$B$18+[3]Cover!$B$21+[3]Cover!$B$24+[3]Cover!$B$30</f>
        <v>13387.57</v>
      </c>
      <c r="M16" s="41">
        <f>[3]Cover!$B$15+[3]Cover!$B$18+[3]Cover!$B$21+[3]Cover!$B$24+[3]Cover!$B$30</f>
        <v>13387.57</v>
      </c>
      <c r="N16" s="59">
        <f>[3]Cover!$C$15+[3]Cover!$C$18+[3]Cover!$C$21+[3]Cover!$C$24+[3]Cover!$C$30</f>
        <v>16000</v>
      </c>
      <c r="O16" s="59">
        <f>[3]Cover!$D$15+[3]Cover!$D$18+[3]Cover!$D$21+[3]Cover!$D$24+[3]Cover!$D$30</f>
        <v>16000</v>
      </c>
      <c r="P16" s="59">
        <f>[3]Cover!$E$15+[3]Cover!$E$18+[3]Cover!$E$21+[3]Cover!$E$24+[3]Cover!$E$30</f>
        <v>16000</v>
      </c>
      <c r="Q16" s="59">
        <v>0</v>
      </c>
      <c r="R16" s="58"/>
    </row>
    <row r="17" spans="1:24" x14ac:dyDescent="0.2">
      <c r="A17" s="26"/>
      <c r="B17" s="27" t="s">
        <v>68</v>
      </c>
      <c r="C17" s="56"/>
      <c r="D17" s="70">
        <v>14500</v>
      </c>
      <c r="E17" s="70"/>
      <c r="F17" s="71">
        <v>0</v>
      </c>
      <c r="G17" s="71"/>
      <c r="H17" s="71">
        <v>0</v>
      </c>
      <c r="I17" s="72">
        <v>15502</v>
      </c>
      <c r="J17" s="72"/>
      <c r="K17" s="70">
        <v>0</v>
      </c>
      <c r="L17" s="73">
        <f>[3]Cover!$B$27</f>
        <v>0</v>
      </c>
      <c r="M17" s="73">
        <f>[3]Cover!$B$27</f>
        <v>0</v>
      </c>
      <c r="N17" s="70">
        <f>[3]Cover!$C$27</f>
        <v>0</v>
      </c>
      <c r="O17" s="70">
        <f>[3]Cover!$D$27</f>
        <v>0</v>
      </c>
      <c r="P17" s="70">
        <f>[3]Cover!$E$27</f>
        <v>0</v>
      </c>
      <c r="Q17" s="70">
        <v>0</v>
      </c>
      <c r="R17" s="58"/>
    </row>
    <row r="18" spans="1:24" x14ac:dyDescent="0.2">
      <c r="A18" s="26">
        <v>3</v>
      </c>
      <c r="B18" s="27" t="s">
        <v>65</v>
      </c>
      <c r="C18" s="51">
        <f t="shared" ref="C18:N18" si="2">SUM(C15:C17)</f>
        <v>138083.25</v>
      </c>
      <c r="D18" s="59">
        <f t="shared" si="2"/>
        <v>172922</v>
      </c>
      <c r="E18" s="60">
        <f t="shared" si="2"/>
        <v>165394</v>
      </c>
      <c r="F18" s="61">
        <f t="shared" si="2"/>
        <v>166965.48000000001</v>
      </c>
      <c r="G18" s="61">
        <f t="shared" si="2"/>
        <v>213742.91</v>
      </c>
      <c r="H18" s="60">
        <f t="shared" si="2"/>
        <v>191374.66</v>
      </c>
      <c r="I18" s="62">
        <f t="shared" si="2"/>
        <v>205685</v>
      </c>
      <c r="J18" s="62">
        <f t="shared" si="2"/>
        <v>180658</v>
      </c>
      <c r="K18" s="60">
        <f t="shared" si="2"/>
        <v>181017.53400000001</v>
      </c>
      <c r="L18" s="41">
        <f t="shared" si="2"/>
        <v>175887.57</v>
      </c>
      <c r="M18" s="41">
        <f>SUM(M15:M17)</f>
        <v>175887.57</v>
      </c>
      <c r="N18" s="60">
        <f t="shared" si="2"/>
        <v>181750</v>
      </c>
      <c r="O18" s="60">
        <f>SUM(O15:O17)</f>
        <v>186400</v>
      </c>
      <c r="P18" s="60">
        <f>SUM(P15:P17)</f>
        <v>186400</v>
      </c>
      <c r="Q18" s="60">
        <f>SUM(Q15:Q17)</f>
        <v>0</v>
      </c>
      <c r="R18" s="63">
        <f>O18-N18</f>
        <v>4650</v>
      </c>
      <c r="S18" s="64">
        <f>R18/N18</f>
        <v>2.5584594222833563E-2</v>
      </c>
      <c r="W18" s="63">
        <f>P18-N18</f>
        <v>4650</v>
      </c>
      <c r="X18" s="64">
        <f>W18/N18</f>
        <v>2.5584594222833563E-2</v>
      </c>
    </row>
    <row r="19" spans="1:24" x14ac:dyDescent="0.2">
      <c r="A19" s="26"/>
      <c r="B19" s="27"/>
      <c r="D19" s="59"/>
      <c r="E19" s="59"/>
      <c r="F19" s="65"/>
      <c r="G19" s="65"/>
      <c r="H19" s="65"/>
      <c r="I19" s="66"/>
      <c r="J19" s="66"/>
      <c r="K19" s="59"/>
      <c r="L19" s="41"/>
      <c r="M19" s="41"/>
      <c r="N19" s="59"/>
      <c r="O19" s="59"/>
      <c r="P19" s="59"/>
      <c r="Q19" s="59"/>
      <c r="R19" s="58"/>
    </row>
    <row r="20" spans="1:24" x14ac:dyDescent="0.2">
      <c r="A20" s="28"/>
      <c r="B20" s="29" t="s">
        <v>70</v>
      </c>
      <c r="C20" s="74"/>
      <c r="D20" s="65"/>
      <c r="E20" s="65"/>
      <c r="F20" s="65"/>
      <c r="G20" s="65"/>
      <c r="H20" s="65"/>
      <c r="I20" s="66"/>
      <c r="J20" s="66"/>
      <c r="K20" s="65" t="s">
        <v>38</v>
      </c>
      <c r="L20" s="75"/>
      <c r="M20" s="75"/>
      <c r="N20" s="65" t="s">
        <v>38</v>
      </c>
      <c r="O20" s="65" t="s">
        <v>38</v>
      </c>
      <c r="P20" s="65" t="s">
        <v>38</v>
      </c>
      <c r="Q20" s="65"/>
      <c r="R20" s="66"/>
      <c r="S20" s="76"/>
    </row>
    <row r="21" spans="1:24" x14ac:dyDescent="0.2">
      <c r="A21" s="28"/>
      <c r="B21" s="30" t="s">
        <v>64</v>
      </c>
      <c r="C21" s="77">
        <v>1110</v>
      </c>
      <c r="D21" s="77">
        <v>850</v>
      </c>
      <c r="E21" s="77">
        <v>1518</v>
      </c>
      <c r="F21" s="77">
        <v>1300</v>
      </c>
      <c r="G21" s="77">
        <v>1071</v>
      </c>
      <c r="H21" s="77">
        <v>738.51</v>
      </c>
      <c r="I21" s="78">
        <v>562</v>
      </c>
      <c r="J21" s="78">
        <v>485</v>
      </c>
      <c r="K21" s="77">
        <v>321.36</v>
      </c>
      <c r="L21" s="75">
        <f>[4]Cover!$B$12</f>
        <v>519.12</v>
      </c>
      <c r="M21" s="75">
        <f>[4]Cover!$B$12</f>
        <v>519.12</v>
      </c>
      <c r="N21" s="65">
        <f>[4]Cover!$C$12</f>
        <v>900</v>
      </c>
      <c r="O21" s="65">
        <f>[4]Cover!$D$12</f>
        <v>900</v>
      </c>
      <c r="P21" s="65">
        <f>[4]Cover!$E$12</f>
        <v>900</v>
      </c>
      <c r="Q21" s="65">
        <v>0</v>
      </c>
      <c r="R21" s="66"/>
      <c r="S21" s="76"/>
    </row>
    <row r="22" spans="1:24" x14ac:dyDescent="0.2">
      <c r="A22" s="28"/>
      <c r="B22" s="30" t="s">
        <v>67</v>
      </c>
      <c r="C22" s="79">
        <v>175</v>
      </c>
      <c r="D22" s="71">
        <v>700</v>
      </c>
      <c r="E22" s="79">
        <v>649</v>
      </c>
      <c r="F22" s="71">
        <v>278.57</v>
      </c>
      <c r="G22" s="71">
        <v>300.94</v>
      </c>
      <c r="H22" s="71">
        <v>393.39</v>
      </c>
      <c r="I22" s="72">
        <v>250</v>
      </c>
      <c r="J22" s="72">
        <v>240</v>
      </c>
      <c r="K22" s="71">
        <v>240</v>
      </c>
      <c r="L22" s="80">
        <f>[4]Cover!$B$15+[4]Cover!$B$18+[4]Cover!$B$21+[4]Cover!$B$24+[4]Cover!$B$27+[4]Cover!$B$30</f>
        <v>244</v>
      </c>
      <c r="M22" s="80">
        <f>[4]Cover!$B$15+[4]Cover!$B$18+[4]Cover!$B$21+[4]Cover!$B$24+[4]Cover!$B$27+[4]Cover!$B$30</f>
        <v>244</v>
      </c>
      <c r="N22" s="80">
        <f>[4]Cover!$C$15+[4]Cover!$C$18+[4]Cover!$C$21+[4]Cover!$C$24+[4]Cover!$C$27+[4]Cover!$C$30</f>
        <v>250</v>
      </c>
      <c r="O22" s="80">
        <f>[4]Cover!$D$15+[4]Cover!$D$18+[4]Cover!$D$21+[4]Cover!$D$24+[4]Cover!$D$27+[4]Cover!$D$30</f>
        <v>300</v>
      </c>
      <c r="P22" s="80">
        <f>[4]Cover!$E$15+[4]Cover!$E$18+[4]Cover!$E$21+[4]Cover!$E$24+[4]Cover!$E$27+[4]Cover!$E$30</f>
        <v>300</v>
      </c>
      <c r="Q22" s="80">
        <v>0</v>
      </c>
      <c r="R22" s="66"/>
      <c r="S22" s="64"/>
    </row>
    <row r="23" spans="1:24" x14ac:dyDescent="0.2">
      <c r="A23" s="28">
        <v>4</v>
      </c>
      <c r="B23" s="30" t="s">
        <v>65</v>
      </c>
      <c r="C23" s="77">
        <v>1285</v>
      </c>
      <c r="D23" s="65">
        <f t="shared" ref="D23:N23" si="3">SUM(D21:D22)</f>
        <v>1550</v>
      </c>
      <c r="E23" s="61">
        <f t="shared" si="3"/>
        <v>2167</v>
      </c>
      <c r="F23" s="61">
        <f t="shared" si="3"/>
        <v>1578.57</v>
      </c>
      <c r="G23" s="61">
        <f t="shared" si="3"/>
        <v>1371.94</v>
      </c>
      <c r="H23" s="61">
        <f t="shared" si="3"/>
        <v>1131.9000000000001</v>
      </c>
      <c r="I23" s="81">
        <f t="shared" si="3"/>
        <v>812</v>
      </c>
      <c r="J23" s="81">
        <f t="shared" si="3"/>
        <v>725</v>
      </c>
      <c r="K23" s="61">
        <f t="shared" si="3"/>
        <v>561.36</v>
      </c>
      <c r="L23" s="75">
        <f t="shared" si="3"/>
        <v>763.12</v>
      </c>
      <c r="M23" s="75">
        <f>SUM(M21:M22)</f>
        <v>763.12</v>
      </c>
      <c r="N23" s="61">
        <f t="shared" si="3"/>
        <v>1150</v>
      </c>
      <c r="O23" s="61">
        <f>SUM(O21:O22)</f>
        <v>1200</v>
      </c>
      <c r="P23" s="61">
        <f>SUM(P21:P22)</f>
        <v>1200</v>
      </c>
      <c r="Q23" s="61">
        <f>SUM(Q21:Q22)</f>
        <v>0</v>
      </c>
      <c r="R23" s="63">
        <f>O23-N23</f>
        <v>50</v>
      </c>
      <c r="S23" s="64">
        <f>R23/N23</f>
        <v>4.3478260869565216E-2</v>
      </c>
      <c r="W23" s="63">
        <f>P23-N23</f>
        <v>50</v>
      </c>
      <c r="X23" s="64">
        <f>W23/N23</f>
        <v>4.3478260869565216E-2</v>
      </c>
    </row>
    <row r="24" spans="1:24" x14ac:dyDescent="0.2">
      <c r="A24" s="26"/>
      <c r="B24" s="27"/>
      <c r="C24" s="51"/>
      <c r="D24" s="59"/>
      <c r="E24" s="59"/>
      <c r="F24" s="65"/>
      <c r="G24" s="65"/>
      <c r="H24" s="65"/>
      <c r="I24" s="66"/>
      <c r="J24" s="66"/>
      <c r="K24" s="59"/>
      <c r="L24" s="41"/>
      <c r="M24" s="41"/>
      <c r="N24" s="59"/>
      <c r="O24" s="59"/>
      <c r="P24" s="59"/>
      <c r="Q24" s="59"/>
      <c r="R24" s="58"/>
    </row>
    <row r="25" spans="1:24" x14ac:dyDescent="0.2">
      <c r="A25" s="26"/>
      <c r="B25" s="14" t="s">
        <v>71</v>
      </c>
      <c r="C25" s="51"/>
      <c r="D25" s="59"/>
      <c r="E25" s="59"/>
      <c r="F25" s="65"/>
      <c r="G25" s="65"/>
      <c r="H25" s="65"/>
      <c r="I25" s="66"/>
      <c r="J25" s="66"/>
      <c r="K25" s="59"/>
      <c r="L25" s="41"/>
      <c r="M25" s="41"/>
      <c r="N25" s="59"/>
      <c r="O25" s="59"/>
      <c r="P25" s="59"/>
      <c r="Q25" s="59"/>
      <c r="R25" s="58"/>
    </row>
    <row r="26" spans="1:24" x14ac:dyDescent="0.2">
      <c r="A26" s="26"/>
      <c r="B26" s="27" t="s">
        <v>71</v>
      </c>
      <c r="C26" s="56"/>
      <c r="D26" s="70">
        <v>0</v>
      </c>
      <c r="E26" s="70">
        <v>0</v>
      </c>
      <c r="F26" s="71">
        <v>0</v>
      </c>
      <c r="G26" s="71">
        <v>0</v>
      </c>
      <c r="H26" s="71">
        <v>0</v>
      </c>
      <c r="I26" s="72">
        <v>75000</v>
      </c>
      <c r="J26" s="72">
        <v>0</v>
      </c>
      <c r="K26" s="71">
        <v>0</v>
      </c>
      <c r="L26" s="80"/>
      <c r="M26" s="80"/>
      <c r="N26" s="80">
        <v>75000</v>
      </c>
      <c r="O26" s="80">
        <v>75000</v>
      </c>
      <c r="P26" s="80">
        <v>75000</v>
      </c>
      <c r="Q26" s="80">
        <v>0</v>
      </c>
      <c r="R26" s="82"/>
    </row>
    <row r="27" spans="1:24" x14ac:dyDescent="0.2">
      <c r="A27" s="26">
        <v>5</v>
      </c>
      <c r="B27" s="27" t="s">
        <v>65</v>
      </c>
      <c r="C27" s="59">
        <f t="shared" ref="C27:N27" si="4">SUM(C26:C26)</f>
        <v>0</v>
      </c>
      <c r="D27" s="59">
        <f t="shared" si="4"/>
        <v>0</v>
      </c>
      <c r="E27" s="59">
        <f t="shared" si="4"/>
        <v>0</v>
      </c>
      <c r="F27" s="65">
        <f t="shared" si="4"/>
        <v>0</v>
      </c>
      <c r="G27" s="65">
        <f t="shared" si="4"/>
        <v>0</v>
      </c>
      <c r="H27" s="59">
        <f t="shared" si="4"/>
        <v>0</v>
      </c>
      <c r="I27" s="58">
        <f t="shared" si="4"/>
        <v>75000</v>
      </c>
      <c r="J27" s="58">
        <f t="shared" si="4"/>
        <v>0</v>
      </c>
      <c r="K27" s="59">
        <f t="shared" si="4"/>
        <v>0</v>
      </c>
      <c r="L27" s="41">
        <f t="shared" si="4"/>
        <v>0</v>
      </c>
      <c r="M27" s="41">
        <f>SUM(M26:M26)</f>
        <v>0</v>
      </c>
      <c r="N27" s="59">
        <f t="shared" si="4"/>
        <v>75000</v>
      </c>
      <c r="O27" s="59">
        <f>SUM(O26:O26)</f>
        <v>75000</v>
      </c>
      <c r="P27" s="59">
        <f>SUM(P26:P26)</f>
        <v>75000</v>
      </c>
      <c r="Q27" s="59">
        <f>SUM(Q26:Q26)</f>
        <v>0</v>
      </c>
      <c r="R27" s="63">
        <f>O27-N27</f>
        <v>0</v>
      </c>
      <c r="S27" s="64">
        <f>R27/N27</f>
        <v>0</v>
      </c>
      <c r="W27" s="63">
        <f>P27-N27</f>
        <v>0</v>
      </c>
      <c r="X27" s="64">
        <f>W27/N27</f>
        <v>0</v>
      </c>
    </row>
    <row r="28" spans="1:24" x14ac:dyDescent="0.2">
      <c r="A28" s="26"/>
      <c r="B28" s="27"/>
      <c r="C28" s="51"/>
      <c r="D28" s="59"/>
      <c r="E28" s="59"/>
      <c r="F28" s="65"/>
      <c r="G28" s="65"/>
      <c r="H28" s="65"/>
      <c r="I28" s="66"/>
      <c r="J28" s="66"/>
      <c r="K28" s="59"/>
      <c r="L28" s="41"/>
      <c r="M28" s="41"/>
      <c r="N28" s="59"/>
      <c r="O28" s="59"/>
      <c r="P28" s="59"/>
      <c r="Q28" s="59"/>
      <c r="R28" s="58"/>
    </row>
    <row r="29" spans="1:24" x14ac:dyDescent="0.2">
      <c r="A29" s="26"/>
      <c r="B29" s="14" t="s">
        <v>72</v>
      </c>
      <c r="C29" s="51"/>
      <c r="D29" s="59"/>
      <c r="E29" s="59"/>
      <c r="F29" s="65"/>
      <c r="G29" s="65"/>
      <c r="H29" s="65"/>
      <c r="I29" s="66"/>
      <c r="J29" s="66"/>
      <c r="K29" s="59"/>
      <c r="L29" s="41"/>
      <c r="M29" s="41"/>
      <c r="N29" s="59"/>
      <c r="O29" s="59"/>
      <c r="P29" s="59"/>
      <c r="Q29" s="59"/>
      <c r="R29" s="58"/>
    </row>
    <row r="30" spans="1:24" x14ac:dyDescent="0.2">
      <c r="A30" s="26"/>
      <c r="B30" s="27" t="s">
        <v>64</v>
      </c>
      <c r="C30" s="51">
        <v>90621.440000000002</v>
      </c>
      <c r="D30" s="51">
        <v>94787</v>
      </c>
      <c r="E30" s="51">
        <v>109611</v>
      </c>
      <c r="F30" s="51">
        <v>113106.91</v>
      </c>
      <c r="G30" s="51">
        <v>152396.72</v>
      </c>
      <c r="H30" s="51">
        <f>138115.06+35188.02+43.35+1673.85</f>
        <v>175020.28</v>
      </c>
      <c r="I30" s="68">
        <v>146729</v>
      </c>
      <c r="J30" s="68">
        <v>123425</v>
      </c>
      <c r="K30" s="51">
        <f>121146+1462.38</f>
        <v>122608.38</v>
      </c>
      <c r="L30" s="41">
        <f>[5]Cover!$C$12</f>
        <v>137662.67000000001</v>
      </c>
      <c r="M30" s="41">
        <f>[5]Cover!$C$12</f>
        <v>137662.67000000001</v>
      </c>
      <c r="N30" s="41">
        <f>[5]Cover!$D$12</f>
        <v>140546</v>
      </c>
      <c r="O30" s="41">
        <f>[5]Cover!$E$12</f>
        <v>126283</v>
      </c>
      <c r="P30" s="41">
        <f>[5]Cover!$F$12</f>
        <v>127200</v>
      </c>
      <c r="Q30" s="41">
        <v>0</v>
      </c>
      <c r="R30" s="58"/>
    </row>
    <row r="31" spans="1:24" x14ac:dyDescent="0.2">
      <c r="A31" s="26"/>
      <c r="B31" s="27" t="s">
        <v>67</v>
      </c>
      <c r="C31" s="51">
        <v>865.81</v>
      </c>
      <c r="D31" s="59">
        <v>15250</v>
      </c>
      <c r="E31" s="59">
        <v>6413</v>
      </c>
      <c r="F31" s="65">
        <v>39740</v>
      </c>
      <c r="G31" s="65">
        <f>10458+623.41+375.5+1640.6+600</f>
        <v>13697.51</v>
      </c>
      <c r="H31" s="65">
        <f>176555.91-H30</f>
        <v>1535.6300000000047</v>
      </c>
      <c r="I31" s="66">
        <v>1668</v>
      </c>
      <c r="J31" s="66">
        <v>3037</v>
      </c>
      <c r="K31" s="59">
        <f>992.97+1532.05+600</f>
        <v>3125.02</v>
      </c>
      <c r="L31" s="41">
        <f>[5]Cover!$C$15+[5]Cover!$C$18+[5]Cover!$C$21+[5]Cover!$C$24+[5]Cover!$C$30</f>
        <v>1971.4699999999998</v>
      </c>
      <c r="M31" s="41">
        <f>[5]Cover!$C$15+[5]Cover!$C$18+[5]Cover!$C$21+[5]Cover!$C$24+[5]Cover!$C$30</f>
        <v>1971.4699999999998</v>
      </c>
      <c r="N31" s="59">
        <f>[5]Cover!$D$15+[5]Cover!$D$18+[5]Cover!$D$21+[5]Cover!$D$24+[5]Cover!$D$30</f>
        <v>4295</v>
      </c>
      <c r="O31" s="59">
        <f>[5]Cover!$E$15+[5]Cover!$E$18+[5]Cover!$E$21+[5]Cover!$E$24+[5]Cover!$E$30</f>
        <v>4975</v>
      </c>
      <c r="P31" s="59">
        <f>[5]Cover!$F$15+[5]Cover!$F$18+[5]Cover!$F$21+[5]Cover!$F$24+[5]Cover!$F$30</f>
        <v>4975</v>
      </c>
      <c r="Q31" s="59">
        <v>0</v>
      </c>
      <c r="R31" s="58"/>
    </row>
    <row r="32" spans="1:24" x14ac:dyDescent="0.2">
      <c r="A32" s="26"/>
      <c r="B32" s="27" t="s">
        <v>68</v>
      </c>
      <c r="C32" s="70"/>
      <c r="D32" s="70"/>
      <c r="E32" s="70"/>
      <c r="F32" s="71">
        <v>0</v>
      </c>
      <c r="G32" s="71"/>
      <c r="H32" s="71">
        <v>0</v>
      </c>
      <c r="I32" s="72">
        <v>0</v>
      </c>
      <c r="J32" s="72">
        <v>0</v>
      </c>
      <c r="K32" s="70">
        <v>0</v>
      </c>
      <c r="L32" s="73">
        <f>[5]Cover!$C$27</f>
        <v>0</v>
      </c>
      <c r="M32" s="73">
        <f>[5]Cover!$C$27</f>
        <v>0</v>
      </c>
      <c r="N32" s="70">
        <f>[5]Cover!$D$27</f>
        <v>0</v>
      </c>
      <c r="O32" s="70">
        <f>[5]Cover!$E$27</f>
        <v>0</v>
      </c>
      <c r="P32" s="70">
        <f>[5]Cover!$F$27</f>
        <v>0</v>
      </c>
      <c r="Q32" s="70">
        <v>0</v>
      </c>
      <c r="R32" s="58"/>
    </row>
    <row r="33" spans="1:24" x14ac:dyDescent="0.2">
      <c r="A33" s="26">
        <v>6</v>
      </c>
      <c r="B33" s="27" t="s">
        <v>65</v>
      </c>
      <c r="C33" s="51">
        <v>91487.25</v>
      </c>
      <c r="D33" s="59">
        <f t="shared" ref="D33:N33" si="5">SUM(D30:D32)</f>
        <v>110037</v>
      </c>
      <c r="E33" s="60">
        <f t="shared" si="5"/>
        <v>116024</v>
      </c>
      <c r="F33" s="61">
        <f t="shared" si="5"/>
        <v>152846.91</v>
      </c>
      <c r="G33" s="61">
        <f t="shared" si="5"/>
        <v>166094.23000000001</v>
      </c>
      <c r="H33" s="60">
        <f t="shared" si="5"/>
        <v>176555.91</v>
      </c>
      <c r="I33" s="62">
        <f t="shared" si="5"/>
        <v>148397</v>
      </c>
      <c r="J33" s="62">
        <f t="shared" si="5"/>
        <v>126462</v>
      </c>
      <c r="K33" s="60">
        <f t="shared" si="5"/>
        <v>125733.40000000001</v>
      </c>
      <c r="L33" s="41">
        <f t="shared" si="5"/>
        <v>139634.14000000001</v>
      </c>
      <c r="M33" s="41">
        <f>SUM(M30:M32)</f>
        <v>139634.14000000001</v>
      </c>
      <c r="N33" s="60">
        <f t="shared" si="5"/>
        <v>144841</v>
      </c>
      <c r="O33" s="60">
        <f>SUM(O30:O32)</f>
        <v>131258</v>
      </c>
      <c r="P33" s="60">
        <f>SUM(P30:P32)</f>
        <v>132175</v>
      </c>
      <c r="Q33" s="60">
        <f>SUM(Q30:Q32)</f>
        <v>0</v>
      </c>
      <c r="R33" s="63">
        <f>O33-N33</f>
        <v>-13583</v>
      </c>
      <c r="S33" s="64">
        <f>R33/N33</f>
        <v>-9.3778695258939115E-2</v>
      </c>
      <c r="W33" s="63">
        <f>P33-N33</f>
        <v>-12666</v>
      </c>
      <c r="X33" s="64">
        <f>W33/N33</f>
        <v>-8.7447614970899118E-2</v>
      </c>
    </row>
    <row r="34" spans="1:24" x14ac:dyDescent="0.2">
      <c r="A34" s="26"/>
      <c r="B34" s="27"/>
      <c r="C34" s="51"/>
      <c r="D34" s="59"/>
      <c r="E34" s="60"/>
      <c r="F34" s="61"/>
      <c r="G34" s="61"/>
      <c r="H34" s="61"/>
      <c r="I34" s="81"/>
      <c r="J34" s="81"/>
      <c r="K34" s="60"/>
      <c r="L34" s="41"/>
      <c r="M34" s="41"/>
      <c r="N34" s="60"/>
      <c r="O34" s="60"/>
      <c r="P34" s="60"/>
      <c r="Q34" s="60"/>
      <c r="R34" s="62"/>
    </row>
    <row r="35" spans="1:24" x14ac:dyDescent="0.2">
      <c r="A35" s="26"/>
      <c r="B35" s="14" t="s">
        <v>73</v>
      </c>
      <c r="C35" s="51"/>
      <c r="D35" s="59"/>
      <c r="E35" s="59"/>
      <c r="F35" s="65"/>
      <c r="G35" s="65"/>
      <c r="H35" s="65"/>
      <c r="I35" s="66"/>
      <c r="J35" s="66"/>
      <c r="K35" s="59"/>
      <c r="L35" s="41"/>
      <c r="M35" s="41"/>
      <c r="N35" s="59"/>
      <c r="O35" s="59"/>
      <c r="P35" s="59"/>
      <c r="Q35" s="59"/>
      <c r="R35" s="58"/>
    </row>
    <row r="36" spans="1:24" x14ac:dyDescent="0.2">
      <c r="A36" s="26"/>
      <c r="B36" s="27" t="s">
        <v>67</v>
      </c>
      <c r="C36" s="56">
        <v>13000</v>
      </c>
      <c r="D36" s="70">
        <v>25000</v>
      </c>
      <c r="E36" s="56">
        <v>28500</v>
      </c>
      <c r="F36" s="71">
        <v>24500</v>
      </c>
      <c r="G36" s="71">
        <v>30000</v>
      </c>
      <c r="H36" s="71">
        <v>25000</v>
      </c>
      <c r="I36" s="72">
        <v>26000</v>
      </c>
      <c r="J36" s="72">
        <v>24900</v>
      </c>
      <c r="K36" s="70">
        <v>24960</v>
      </c>
      <c r="L36" s="73">
        <f>[6]Cover!$C$15+[6]Cover!$C$18+[6]Cover!$C$21+[6]Cover!$C$24+[6]Cover!$C$27+[6]Cover!$C$30</f>
        <v>27500</v>
      </c>
      <c r="M36" s="73">
        <f>[6]Cover!$C$15+[6]Cover!$C$18+[6]Cover!$C$21+[6]Cover!$C$24+[6]Cover!$C$27+[6]Cover!$C$30</f>
        <v>27500</v>
      </c>
      <c r="N36" s="70">
        <f>[6]Cover!$D$15+[6]Cover!$D$18+[6]Cover!$D$21+[6]Cover!$D$24+[6]Cover!$D$27+[6]Cover!$D$30</f>
        <v>27500</v>
      </c>
      <c r="O36" s="70">
        <f>[6]Cover!$E$15+[6]Cover!$E$18+[6]Cover!$E$21+[6]Cover!$E$24+[6]Cover!$E$27+[6]Cover!$E$30</f>
        <v>27500</v>
      </c>
      <c r="P36" s="70">
        <f>[6]Cover!$F$15+[6]Cover!$F$18+[6]Cover!$F$21+[6]Cover!$F$24+[6]Cover!$F$27+[6]Cover!$F$30</f>
        <v>27500</v>
      </c>
      <c r="Q36" s="70">
        <v>0</v>
      </c>
      <c r="R36" s="58"/>
    </row>
    <row r="37" spans="1:24" x14ac:dyDescent="0.2">
      <c r="A37" s="26">
        <v>7</v>
      </c>
      <c r="B37" s="27" t="s">
        <v>65</v>
      </c>
      <c r="C37" s="51">
        <f>SUM(C36)</f>
        <v>13000</v>
      </c>
      <c r="D37" s="59">
        <f t="shared" ref="D37:N37" si="6">SUM(D36:D36)</f>
        <v>25000</v>
      </c>
      <c r="E37" s="59">
        <f t="shared" si="6"/>
        <v>28500</v>
      </c>
      <c r="F37" s="65">
        <f t="shared" si="6"/>
        <v>24500</v>
      </c>
      <c r="G37" s="65">
        <f t="shared" si="6"/>
        <v>30000</v>
      </c>
      <c r="H37" s="59">
        <f t="shared" si="6"/>
        <v>25000</v>
      </c>
      <c r="I37" s="58">
        <f t="shared" si="6"/>
        <v>26000</v>
      </c>
      <c r="J37" s="58">
        <f t="shared" si="6"/>
        <v>24900</v>
      </c>
      <c r="K37" s="59">
        <f t="shared" si="6"/>
        <v>24960</v>
      </c>
      <c r="L37" s="41">
        <f t="shared" si="6"/>
        <v>27500</v>
      </c>
      <c r="M37" s="41">
        <f>SUM(M36:M36)</f>
        <v>27500</v>
      </c>
      <c r="N37" s="59">
        <f t="shared" si="6"/>
        <v>27500</v>
      </c>
      <c r="O37" s="59">
        <f>SUM(O36:O36)</f>
        <v>27500</v>
      </c>
      <c r="P37" s="59">
        <f>SUM(P36:P36)</f>
        <v>27500</v>
      </c>
      <c r="Q37" s="59">
        <f>SUM(Q36:Q36)</f>
        <v>0</v>
      </c>
      <c r="R37" s="63">
        <f>O37-N37</f>
        <v>0</v>
      </c>
      <c r="S37" s="64">
        <f>R37/N37</f>
        <v>0</v>
      </c>
      <c r="W37" s="63">
        <f>P37-N37</f>
        <v>0</v>
      </c>
      <c r="X37" s="64">
        <f>W37/N37</f>
        <v>0</v>
      </c>
    </row>
    <row r="38" spans="1:24" x14ac:dyDescent="0.2">
      <c r="A38" s="26"/>
      <c r="B38" s="27"/>
      <c r="C38" s="51"/>
      <c r="D38" s="59"/>
      <c r="E38" s="59"/>
      <c r="F38" s="65"/>
      <c r="G38" s="65"/>
      <c r="H38" s="65"/>
      <c r="I38" s="66"/>
      <c r="J38" s="66"/>
      <c r="K38" s="59"/>
      <c r="L38" s="41"/>
      <c r="M38" s="41"/>
      <c r="N38" s="59"/>
      <c r="O38" s="59"/>
      <c r="P38" s="59"/>
      <c r="Q38" s="59"/>
      <c r="R38" s="58"/>
      <c r="W38" s="63"/>
      <c r="X38" s="64"/>
    </row>
    <row r="39" spans="1:24" x14ac:dyDescent="0.2">
      <c r="A39" s="28"/>
      <c r="B39" s="29" t="s">
        <v>74</v>
      </c>
      <c r="C39" s="77"/>
      <c r="D39" s="65"/>
      <c r="E39" s="65"/>
      <c r="F39" s="65"/>
      <c r="G39" s="65"/>
      <c r="H39" s="65"/>
      <c r="I39" s="66"/>
      <c r="J39" s="66"/>
      <c r="K39" s="65"/>
      <c r="L39" s="75"/>
      <c r="M39" s="75"/>
      <c r="N39" s="65"/>
      <c r="O39" s="65"/>
      <c r="P39" s="65"/>
      <c r="Q39" s="65"/>
      <c r="R39" s="66"/>
      <c r="S39" s="76"/>
    </row>
    <row r="40" spans="1:24" x14ac:dyDescent="0.2">
      <c r="A40" s="28"/>
      <c r="B40" s="30" t="s">
        <v>64</v>
      </c>
      <c r="C40" s="77">
        <v>97521.07</v>
      </c>
      <c r="D40" s="77">
        <v>101195</v>
      </c>
      <c r="E40" s="77">
        <v>106895</v>
      </c>
      <c r="F40" s="77">
        <v>109430.48000000001</v>
      </c>
      <c r="G40" s="77">
        <v>114367.91</v>
      </c>
      <c r="H40" s="77">
        <f>7560+56661+35188.02+17805.42+1200</f>
        <v>118414.43999999999</v>
      </c>
      <c r="I40" s="78">
        <v>119826</v>
      </c>
      <c r="J40" s="78">
        <v>119826</v>
      </c>
      <c r="K40" s="77">
        <f>7560+72428.92+45873.44+13732.56+1450</f>
        <v>141044.92000000001</v>
      </c>
      <c r="L40" s="75">
        <f>[7]Cover!$C$12</f>
        <v>113021.8</v>
      </c>
      <c r="M40" s="75">
        <f>[7]Cover!$C$12</f>
        <v>113021.8</v>
      </c>
      <c r="N40" s="65">
        <f>[7]Cover!$D$12</f>
        <v>114047</v>
      </c>
      <c r="O40" s="65">
        <f>[7]Cover!$E$12</f>
        <v>113493</v>
      </c>
      <c r="P40" s="65">
        <f>[7]Cover!$F$12</f>
        <v>114012</v>
      </c>
      <c r="Q40" s="65">
        <v>0</v>
      </c>
      <c r="R40" s="66"/>
      <c r="S40" s="76"/>
    </row>
    <row r="41" spans="1:24" x14ac:dyDescent="0.2">
      <c r="A41" s="28"/>
      <c r="B41" s="30" t="s">
        <v>67</v>
      </c>
      <c r="C41" s="77">
        <f>1529.46+124.8+7851.24</f>
        <v>9505.5</v>
      </c>
      <c r="D41" s="65">
        <v>935</v>
      </c>
      <c r="E41" s="65">
        <v>14833</v>
      </c>
      <c r="F41" s="65">
        <v>52238.73</v>
      </c>
      <c r="G41" s="65">
        <f>67100+1138.33+150+80+15905.3</f>
        <v>84373.63</v>
      </c>
      <c r="H41" s="65">
        <f>122584.37-H40-H42</f>
        <v>4169.9300000000076</v>
      </c>
      <c r="I41" s="66">
        <v>8750</v>
      </c>
      <c r="J41" s="66">
        <v>5810</v>
      </c>
      <c r="K41" s="65">
        <f>420.6+101.01+665.47</f>
        <v>1187.08</v>
      </c>
      <c r="L41" s="75">
        <f>[7]Cover!$C$15+[7]Cover!$C$18+[7]Cover!$C$21+[7]Cover!$C$24+[7]Cover!$C$30</f>
        <v>12184.98</v>
      </c>
      <c r="M41" s="75">
        <f>[7]Cover!$C$15+[7]Cover!$C$18+[7]Cover!$C$21+[7]Cover!$C$24+[7]Cover!$C$30</f>
        <v>12184.98</v>
      </c>
      <c r="N41" s="65">
        <f>[7]Cover!$D$15+[7]Cover!$D$18+[7]Cover!$D$21+[7]Cover!$D$24+[7]Cover!$D$30</f>
        <v>14462</v>
      </c>
      <c r="O41" s="65">
        <f>[7]Cover!$E$15+[7]Cover!$E$18+[7]Cover!$E$21+[7]Cover!$E$24+[7]Cover!$E$30</f>
        <v>15157</v>
      </c>
      <c r="P41" s="65">
        <f>[7]Cover!$F$15+[7]Cover!$F$18+[7]Cover!$F$21+[7]Cover!$F$24+[7]Cover!$F$30</f>
        <v>15157</v>
      </c>
      <c r="Q41" s="65">
        <v>0</v>
      </c>
      <c r="R41" s="66"/>
      <c r="S41" s="76"/>
    </row>
    <row r="42" spans="1:24" x14ac:dyDescent="0.2">
      <c r="A42" s="28"/>
      <c r="B42" s="30" t="s">
        <v>68</v>
      </c>
      <c r="C42" s="79"/>
      <c r="D42" s="71">
        <v>18080</v>
      </c>
      <c r="E42" s="71"/>
      <c r="F42" s="71">
        <v>0</v>
      </c>
      <c r="G42" s="71"/>
      <c r="H42" s="71">
        <v>0</v>
      </c>
      <c r="I42" s="72">
        <v>0</v>
      </c>
      <c r="J42" s="72"/>
      <c r="K42" s="71">
        <v>0</v>
      </c>
      <c r="L42" s="80">
        <f>[7]Cover!$C$27</f>
        <v>0</v>
      </c>
      <c r="M42" s="80">
        <f>[7]Cover!$C$27</f>
        <v>0</v>
      </c>
      <c r="N42" s="71">
        <f>[7]Cover!$D$27</f>
        <v>0</v>
      </c>
      <c r="O42" s="71">
        <f>[7]Cover!$E$27</f>
        <v>0</v>
      </c>
      <c r="P42" s="71">
        <f>[7]Cover!$F$27</f>
        <v>0</v>
      </c>
      <c r="Q42" s="71">
        <v>0</v>
      </c>
      <c r="R42" s="66"/>
      <c r="S42" s="76"/>
    </row>
    <row r="43" spans="1:24" x14ac:dyDescent="0.2">
      <c r="A43" s="28">
        <v>8</v>
      </c>
      <c r="B43" s="30" t="s">
        <v>65</v>
      </c>
      <c r="C43" s="77">
        <v>107026.57</v>
      </c>
      <c r="D43" s="65">
        <f t="shared" ref="D43:N43" si="7">SUM(D40:D42)</f>
        <v>120210</v>
      </c>
      <c r="E43" s="61">
        <f t="shared" si="7"/>
        <v>121728</v>
      </c>
      <c r="F43" s="61">
        <f t="shared" si="7"/>
        <v>161669.21000000002</v>
      </c>
      <c r="G43" s="61">
        <f t="shared" si="7"/>
        <v>198741.54</v>
      </c>
      <c r="H43" s="61">
        <f t="shared" si="7"/>
        <v>122584.37</v>
      </c>
      <c r="I43" s="81">
        <f t="shared" si="7"/>
        <v>128576</v>
      </c>
      <c r="J43" s="81">
        <f t="shared" si="7"/>
        <v>125636</v>
      </c>
      <c r="K43" s="61">
        <f t="shared" si="7"/>
        <v>142232</v>
      </c>
      <c r="L43" s="75">
        <f t="shared" si="7"/>
        <v>125206.78</v>
      </c>
      <c r="M43" s="75">
        <f>SUM(M40:M42)</f>
        <v>125206.78</v>
      </c>
      <c r="N43" s="61">
        <f t="shared" si="7"/>
        <v>128509</v>
      </c>
      <c r="O43" s="61">
        <f>SUM(O40:O42)</f>
        <v>128650</v>
      </c>
      <c r="P43" s="61">
        <f>SUM(P40:P42)</f>
        <v>129169</v>
      </c>
      <c r="Q43" s="61">
        <f>SUM(Q40:Q42)</f>
        <v>0</v>
      </c>
      <c r="R43" s="63">
        <f>O43-N43</f>
        <v>141</v>
      </c>
      <c r="S43" s="64">
        <f>R43/N43</f>
        <v>1.0971994179395995E-3</v>
      </c>
      <c r="W43" s="63">
        <f>P43-N43</f>
        <v>660</v>
      </c>
      <c r="X43" s="64">
        <f>W43/N43</f>
        <v>5.1358270626959976E-3</v>
      </c>
    </row>
    <row r="44" spans="1:24" x14ac:dyDescent="0.2">
      <c r="A44" s="26"/>
      <c r="B44" s="27"/>
      <c r="C44" s="51"/>
      <c r="D44" s="59"/>
      <c r="E44" s="59"/>
      <c r="F44" s="65"/>
      <c r="G44" s="65"/>
      <c r="H44" s="65"/>
      <c r="I44" s="66"/>
      <c r="J44" s="66"/>
      <c r="K44" s="59"/>
      <c r="L44" s="41"/>
      <c r="M44" s="41"/>
      <c r="N44" s="59"/>
      <c r="O44" s="59"/>
      <c r="P44" s="59"/>
      <c r="Q44" s="59"/>
      <c r="R44" s="58"/>
    </row>
    <row r="45" spans="1:24" x14ac:dyDescent="0.2">
      <c r="A45" s="28"/>
      <c r="B45" s="29" t="s">
        <v>75</v>
      </c>
      <c r="C45" s="77"/>
      <c r="D45" s="65"/>
      <c r="E45" s="65"/>
      <c r="F45" s="65"/>
      <c r="G45" s="65"/>
      <c r="H45" s="65"/>
      <c r="I45" s="66"/>
      <c r="J45" s="66"/>
      <c r="K45" s="65"/>
      <c r="L45" s="75"/>
      <c r="M45" s="75"/>
      <c r="N45" s="65"/>
      <c r="O45" s="65"/>
      <c r="P45" s="65"/>
      <c r="Q45" s="65"/>
      <c r="R45" s="66"/>
      <c r="S45" s="76"/>
    </row>
    <row r="46" spans="1:24" x14ac:dyDescent="0.2">
      <c r="A46" s="28"/>
      <c r="B46" s="30" t="s">
        <v>64</v>
      </c>
      <c r="C46" s="77">
        <v>125845.75</v>
      </c>
      <c r="D46" s="77">
        <v>133833</v>
      </c>
      <c r="E46" s="77">
        <v>159491</v>
      </c>
      <c r="F46" s="77">
        <v>163117.54999999999</v>
      </c>
      <c r="G46" s="77">
        <v>140772.74</v>
      </c>
      <c r="H46" s="77">
        <f>50904+73226.16+19802.75+750</f>
        <v>144682.91</v>
      </c>
      <c r="I46" s="78">
        <v>134907</v>
      </c>
      <c r="J46" s="78">
        <v>153357</v>
      </c>
      <c r="K46" s="77">
        <f>50904+74835+25349+909.71+1750</f>
        <v>153747.71</v>
      </c>
      <c r="L46" s="75">
        <f>[8]Cover!$C$12</f>
        <v>163342.76</v>
      </c>
      <c r="M46" s="75">
        <f>[8]Cover!$C$12</f>
        <v>163342.76</v>
      </c>
      <c r="N46" s="65">
        <f>[8]Cover!$D$12</f>
        <v>166262</v>
      </c>
      <c r="O46" s="65">
        <f>[8]Cover!$E$12</f>
        <v>168147.3</v>
      </c>
      <c r="P46" s="65">
        <f>[8]Cover!$F$12</f>
        <v>172248</v>
      </c>
      <c r="Q46" s="65">
        <v>0</v>
      </c>
      <c r="R46" s="66"/>
      <c r="S46" s="76"/>
    </row>
    <row r="47" spans="1:24" x14ac:dyDescent="0.2">
      <c r="A47" s="28"/>
      <c r="B47" s="30" t="s">
        <v>67</v>
      </c>
      <c r="C47" s="77">
        <f>4198.17+163.44+38122.03</f>
        <v>42483.64</v>
      </c>
      <c r="D47" s="65">
        <v>12754</v>
      </c>
      <c r="E47" s="65">
        <v>58441</v>
      </c>
      <c r="F47" s="65">
        <v>60336.39</v>
      </c>
      <c r="G47" s="65">
        <f>41709.33+21511.34+295+920.56+983.34</f>
        <v>65419.569999999992</v>
      </c>
      <c r="H47" s="65">
        <f>192373.54-H46-H48</f>
        <v>47690.630000000005</v>
      </c>
      <c r="I47" s="66">
        <v>46732</v>
      </c>
      <c r="J47" s="66">
        <v>48085</v>
      </c>
      <c r="K47" s="65">
        <f>28482.35+17752.16+913+551</f>
        <v>47698.509999999995</v>
      </c>
      <c r="L47" s="75">
        <f>[8]Cover!$C$15+[8]Cover!$C$18+[8]Cover!$C$21+[8]Cover!$C$24+[8]Cover!$C$30</f>
        <v>55334.159999999996</v>
      </c>
      <c r="M47" s="75">
        <f>[8]Cover!$C$15+[8]Cover!$C$18+[8]Cover!$C$21+[8]Cover!$C$24+[8]Cover!$C$30</f>
        <v>55334.159999999996</v>
      </c>
      <c r="N47" s="65">
        <f>[8]Cover!$D$15+[8]Cover!$D$18+[8]Cover!$D$21+[8]Cover!$D$24+[8]Cover!$D$30</f>
        <v>59548</v>
      </c>
      <c r="O47" s="65">
        <f>[8]Cover!$E$15+[8]Cover!$E$18+[8]Cover!$E$21+[8]Cover!$E$24+[8]Cover!$E$30</f>
        <v>60055.5</v>
      </c>
      <c r="P47" s="65">
        <f>[8]Cover!$F$15+[8]Cover!$F$18+[8]Cover!$F$21+[8]Cover!$F$24+[8]Cover!$F$30</f>
        <v>52681</v>
      </c>
      <c r="Q47" s="65">
        <v>0</v>
      </c>
      <c r="R47" s="66"/>
      <c r="S47" s="76"/>
    </row>
    <row r="48" spans="1:24" x14ac:dyDescent="0.2">
      <c r="A48" s="28"/>
      <c r="B48" s="30" t="s">
        <v>68</v>
      </c>
      <c r="C48" s="79"/>
      <c r="D48" s="71">
        <v>44800</v>
      </c>
      <c r="E48" s="71"/>
      <c r="F48" s="71"/>
      <c r="G48" s="71"/>
      <c r="H48" s="71">
        <v>0</v>
      </c>
      <c r="I48" s="72">
        <v>0</v>
      </c>
      <c r="J48" s="72">
        <v>0</v>
      </c>
      <c r="K48" s="71">
        <v>0</v>
      </c>
      <c r="L48" s="80">
        <f>[8]Cover!$C$27</f>
        <v>0</v>
      </c>
      <c r="M48" s="80">
        <f>[8]Cover!$C$27</f>
        <v>0</v>
      </c>
      <c r="N48" s="71">
        <f>[8]Cover!$D$27</f>
        <v>0</v>
      </c>
      <c r="O48" s="71">
        <f>[8]Cover!$E$27</f>
        <v>0</v>
      </c>
      <c r="P48" s="71">
        <f>[8]Cover!$F$27</f>
        <v>0</v>
      </c>
      <c r="Q48" s="71">
        <v>0</v>
      </c>
      <c r="R48" s="66"/>
      <c r="S48" s="76"/>
    </row>
    <row r="49" spans="1:24" x14ac:dyDescent="0.2">
      <c r="A49" s="28">
        <v>9</v>
      </c>
      <c r="B49" s="30" t="s">
        <v>65</v>
      </c>
      <c r="C49" s="77">
        <f t="shared" ref="C49:N49" si="8">SUM(C46:C48)</f>
        <v>168329.39</v>
      </c>
      <c r="D49" s="65">
        <f t="shared" si="8"/>
        <v>191387</v>
      </c>
      <c r="E49" s="65">
        <f t="shared" si="8"/>
        <v>217932</v>
      </c>
      <c r="F49" s="65">
        <f t="shared" si="8"/>
        <v>223453.94</v>
      </c>
      <c r="G49" s="65">
        <f t="shared" si="8"/>
        <v>206192.31</v>
      </c>
      <c r="H49" s="65">
        <f t="shared" si="8"/>
        <v>192373.54</v>
      </c>
      <c r="I49" s="66">
        <f t="shared" si="8"/>
        <v>181639</v>
      </c>
      <c r="J49" s="66">
        <f t="shared" si="8"/>
        <v>201442</v>
      </c>
      <c r="K49" s="65">
        <f t="shared" si="8"/>
        <v>201446.21999999997</v>
      </c>
      <c r="L49" s="75">
        <f t="shared" si="8"/>
        <v>218676.92</v>
      </c>
      <c r="M49" s="75">
        <f>SUM(M46:M48)</f>
        <v>218676.92</v>
      </c>
      <c r="N49" s="65">
        <f t="shared" si="8"/>
        <v>225810</v>
      </c>
      <c r="O49" s="65">
        <f>SUM(O46:O48)</f>
        <v>228202.8</v>
      </c>
      <c r="P49" s="65">
        <f>SUM(P46:P48)</f>
        <v>224929</v>
      </c>
      <c r="Q49" s="65">
        <f>SUM(Q46:Q48)</f>
        <v>0</v>
      </c>
      <c r="R49" s="63">
        <f>O49-N49</f>
        <v>2392.7999999999884</v>
      </c>
      <c r="S49" s="64">
        <f>R49/N49</f>
        <v>1.0596519197555415E-2</v>
      </c>
      <c r="W49" s="63">
        <f>P49-N49</f>
        <v>-881</v>
      </c>
      <c r="X49" s="64">
        <f>W49/N49</f>
        <v>-3.9015101191266994E-3</v>
      </c>
    </row>
    <row r="50" spans="1:24" x14ac:dyDescent="0.2">
      <c r="A50" s="26"/>
      <c r="B50" s="27"/>
      <c r="C50" s="51"/>
      <c r="D50" s="59"/>
      <c r="E50" s="59"/>
      <c r="F50" s="65" t="s">
        <v>38</v>
      </c>
      <c r="G50" s="65"/>
      <c r="H50" s="65"/>
      <c r="I50" s="66"/>
      <c r="J50" s="66"/>
      <c r="K50" s="59"/>
      <c r="L50" s="41" t="s">
        <v>38</v>
      </c>
      <c r="M50" s="41" t="s">
        <v>38</v>
      </c>
      <c r="N50" s="59"/>
      <c r="O50" s="59"/>
      <c r="P50" s="59"/>
      <c r="Q50" s="59"/>
      <c r="R50" s="58"/>
    </row>
    <row r="51" spans="1:24" x14ac:dyDescent="0.2">
      <c r="A51" s="26"/>
      <c r="B51" s="14" t="s">
        <v>76</v>
      </c>
      <c r="C51" s="51"/>
      <c r="D51" s="59"/>
      <c r="E51" s="59"/>
      <c r="F51" s="65"/>
      <c r="G51" s="65"/>
      <c r="H51" s="65"/>
      <c r="I51" s="66"/>
      <c r="J51" s="66"/>
      <c r="K51" s="59"/>
      <c r="L51" s="41"/>
      <c r="M51" s="41"/>
      <c r="N51" s="59"/>
      <c r="O51" s="59"/>
      <c r="P51" s="59"/>
      <c r="Q51" s="59"/>
      <c r="R51" s="58"/>
    </row>
    <row r="52" spans="1:24" x14ac:dyDescent="0.2">
      <c r="A52" s="26"/>
      <c r="B52" s="27" t="s">
        <v>67</v>
      </c>
      <c r="C52" s="56">
        <v>72973.34</v>
      </c>
      <c r="D52" s="70">
        <v>65000</v>
      </c>
      <c r="E52" s="56">
        <v>144380</v>
      </c>
      <c r="F52" s="71">
        <v>218484.7</v>
      </c>
      <c r="G52" s="71">
        <f>151366.6+3633.4</f>
        <v>155000</v>
      </c>
      <c r="H52" s="71">
        <v>82546.33</v>
      </c>
      <c r="I52" s="72">
        <v>93626</v>
      </c>
      <c r="J52" s="72">
        <v>92378</v>
      </c>
      <c r="K52" s="70">
        <f>175653.92+1937.5</f>
        <v>177591.42</v>
      </c>
      <c r="L52" s="73">
        <f>[9]Cover!$C$15</f>
        <v>189989.05000000002</v>
      </c>
      <c r="M52" s="73">
        <f>[9]Cover!$C$15</f>
        <v>189989.05000000002</v>
      </c>
      <c r="N52" s="73">
        <f>[9]Cover!$D$15</f>
        <v>120000</v>
      </c>
      <c r="O52" s="73">
        <f>[9]Cover!$E$15</f>
        <v>130000</v>
      </c>
      <c r="P52" s="73">
        <f>[9]Cover!$F$15</f>
        <v>130000</v>
      </c>
      <c r="Q52" s="71">
        <v>0</v>
      </c>
      <c r="R52" s="58"/>
    </row>
    <row r="53" spans="1:24" x14ac:dyDescent="0.2">
      <c r="A53" s="26">
        <v>10</v>
      </c>
      <c r="B53" s="27" t="s">
        <v>65</v>
      </c>
      <c r="C53" s="51">
        <v>72973.34</v>
      </c>
      <c r="D53" s="59">
        <f>SUM(D52:D52)</f>
        <v>65000</v>
      </c>
      <c r="E53" s="60">
        <f t="shared" ref="E53:N53" si="9">SUM(E52)</f>
        <v>144380</v>
      </c>
      <c r="F53" s="61">
        <f t="shared" si="9"/>
        <v>218484.7</v>
      </c>
      <c r="G53" s="61">
        <f t="shared" si="9"/>
        <v>155000</v>
      </c>
      <c r="H53" s="60">
        <f t="shared" si="9"/>
        <v>82546.33</v>
      </c>
      <c r="I53" s="62">
        <f t="shared" si="9"/>
        <v>93626</v>
      </c>
      <c r="J53" s="62">
        <f t="shared" si="9"/>
        <v>92378</v>
      </c>
      <c r="K53" s="60">
        <f t="shared" si="9"/>
        <v>177591.42</v>
      </c>
      <c r="L53" s="75">
        <f t="shared" si="9"/>
        <v>189989.05000000002</v>
      </c>
      <c r="M53" s="75">
        <f>SUM(M52)</f>
        <v>189989.05000000002</v>
      </c>
      <c r="N53" s="60">
        <f t="shared" si="9"/>
        <v>120000</v>
      </c>
      <c r="O53" s="60">
        <f>SUM(O52)</f>
        <v>130000</v>
      </c>
      <c r="P53" s="60">
        <f>SUM(P52)</f>
        <v>130000</v>
      </c>
      <c r="Q53" s="60">
        <f>SUM(Q52)</f>
        <v>0</v>
      </c>
      <c r="R53" s="63">
        <f>O53-N53</f>
        <v>10000</v>
      </c>
      <c r="S53" s="64">
        <f>R53/N53</f>
        <v>8.3333333333333329E-2</v>
      </c>
      <c r="W53" s="63">
        <f>P53-N53</f>
        <v>10000</v>
      </c>
      <c r="X53" s="64">
        <f>W53/N53</f>
        <v>8.3333333333333329E-2</v>
      </c>
    </row>
    <row r="54" spans="1:24" x14ac:dyDescent="0.2">
      <c r="A54" s="26"/>
      <c r="B54" s="27"/>
      <c r="C54" s="51"/>
      <c r="D54" s="59"/>
      <c r="E54" s="59"/>
      <c r="F54" s="65"/>
      <c r="G54" s="65"/>
      <c r="H54" s="65"/>
      <c r="I54" s="66"/>
      <c r="J54" s="66"/>
      <c r="K54" s="59"/>
      <c r="L54" s="41"/>
      <c r="M54" s="41"/>
      <c r="N54" s="59"/>
      <c r="O54" s="59"/>
      <c r="P54" s="59"/>
      <c r="Q54" s="59"/>
      <c r="R54" s="58"/>
    </row>
    <row r="55" spans="1:24" x14ac:dyDescent="0.2">
      <c r="A55" s="31"/>
      <c r="B55" s="14" t="s">
        <v>77</v>
      </c>
      <c r="C55" s="51"/>
      <c r="D55" s="59"/>
      <c r="E55" s="59"/>
      <c r="F55" s="65"/>
      <c r="G55" s="65"/>
      <c r="H55" s="65"/>
      <c r="I55" s="66"/>
      <c r="J55" s="66"/>
      <c r="K55" s="59"/>
      <c r="L55" s="41"/>
      <c r="M55" s="41"/>
      <c r="N55" s="59"/>
      <c r="O55" s="59"/>
      <c r="P55" s="59"/>
      <c r="Q55" s="59"/>
      <c r="R55" s="58"/>
    </row>
    <row r="56" spans="1:24" x14ac:dyDescent="0.2">
      <c r="A56" s="26"/>
      <c r="B56" s="27" t="s">
        <v>67</v>
      </c>
      <c r="C56" s="51"/>
      <c r="D56" s="59">
        <v>1000</v>
      </c>
      <c r="E56" s="59">
        <v>24260</v>
      </c>
      <c r="F56" s="65">
        <v>25535.94</v>
      </c>
      <c r="G56" s="65">
        <f>21503+5200</f>
        <v>26703</v>
      </c>
      <c r="H56" s="65">
        <f>66187.02-7027.37</f>
        <v>59159.65</v>
      </c>
      <c r="I56" s="66">
        <v>92354</v>
      </c>
      <c r="J56" s="66">
        <v>85262</v>
      </c>
      <c r="K56" s="59">
        <f>21600+54191+2220+14522+2500</f>
        <v>95033</v>
      </c>
      <c r="L56" s="41">
        <f>[10]Cover!$C$15+[10]Cover!$C$18+[10]Cover!$C$21+[10]Cover!$C$24+[10]Cover!$C$30</f>
        <v>104025.63999999998</v>
      </c>
      <c r="M56" s="41">
        <f>[10]Cover!$C$15+[10]Cover!$C$18+[10]Cover!$C$21+[10]Cover!$C$24+[10]Cover!$C$30</f>
        <v>104025.63999999998</v>
      </c>
      <c r="N56" s="59">
        <f>[10]Cover!$D$15+[10]Cover!$D$18+[10]Cover!$D$21+[10]Cover!$D$24+[10]Cover!$D$30</f>
        <v>114319</v>
      </c>
      <c r="O56" s="59">
        <f>[10]Cover!$E$15+[10]Cover!$E$18+[10]Cover!$E$21+[10]Cover!$E$24+[10]Cover!$E$30</f>
        <v>110890</v>
      </c>
      <c r="P56" s="59">
        <f>[10]Cover!$F$15+[10]Cover!$F$18+[10]Cover!$F$21+[10]Cover!$F$24+[10]Cover!$F$30</f>
        <v>110890</v>
      </c>
      <c r="Q56" s="59">
        <v>0</v>
      </c>
      <c r="R56" s="58"/>
    </row>
    <row r="57" spans="1:24" x14ac:dyDescent="0.2">
      <c r="A57" s="26"/>
      <c r="B57" s="27" t="s">
        <v>68</v>
      </c>
      <c r="C57" s="56"/>
      <c r="D57" s="70">
        <v>14000</v>
      </c>
      <c r="E57" s="70">
        <v>0</v>
      </c>
      <c r="F57" s="71">
        <v>0</v>
      </c>
      <c r="G57" s="71">
        <v>0</v>
      </c>
      <c r="H57" s="71">
        <v>7027.37</v>
      </c>
      <c r="I57" s="72">
        <v>5291</v>
      </c>
      <c r="J57" s="72">
        <v>49685</v>
      </c>
      <c r="K57" s="70">
        <v>33104.93</v>
      </c>
      <c r="L57" s="73">
        <f>[10]Cover!$C$27</f>
        <v>11574.03</v>
      </c>
      <c r="M57" s="73">
        <f>[10]Cover!$C$27</f>
        <v>11574.03</v>
      </c>
      <c r="N57" s="70">
        <f>[10]Cover!$D$27</f>
        <v>14500</v>
      </c>
      <c r="O57" s="70">
        <f>[10]Cover!$E$27</f>
        <v>14500</v>
      </c>
      <c r="P57" s="70">
        <f>[10]Cover!$F$27</f>
        <v>14500</v>
      </c>
      <c r="Q57" s="71">
        <v>0</v>
      </c>
      <c r="R57" s="58"/>
    </row>
    <row r="58" spans="1:24" x14ac:dyDescent="0.2">
      <c r="A58" s="26">
        <v>11</v>
      </c>
      <c r="B58" s="27" t="s">
        <v>65</v>
      </c>
      <c r="C58" s="59">
        <f t="shared" ref="C58:N58" si="10">SUM(C56:C57)</f>
        <v>0</v>
      </c>
      <c r="D58" s="59">
        <f t="shared" si="10"/>
        <v>15000</v>
      </c>
      <c r="E58" s="59">
        <f t="shared" si="10"/>
        <v>24260</v>
      </c>
      <c r="F58" s="65">
        <f t="shared" si="10"/>
        <v>25535.94</v>
      </c>
      <c r="G58" s="65">
        <f t="shared" si="10"/>
        <v>26703</v>
      </c>
      <c r="H58" s="59">
        <f t="shared" si="10"/>
        <v>66187.02</v>
      </c>
      <c r="I58" s="58">
        <f t="shared" si="10"/>
        <v>97645</v>
      </c>
      <c r="J58" s="58">
        <f t="shared" si="10"/>
        <v>134947</v>
      </c>
      <c r="K58" s="59">
        <f t="shared" si="10"/>
        <v>128137.93</v>
      </c>
      <c r="L58" s="41">
        <f t="shared" si="10"/>
        <v>115599.66999999998</v>
      </c>
      <c r="M58" s="41">
        <f>SUM(M56:M57)</f>
        <v>115599.66999999998</v>
      </c>
      <c r="N58" s="59">
        <f t="shared" si="10"/>
        <v>128819</v>
      </c>
      <c r="O58" s="59">
        <f>SUM(O56:O57)</f>
        <v>125390</v>
      </c>
      <c r="P58" s="59">
        <f>SUM(P56:P57)</f>
        <v>125390</v>
      </c>
      <c r="Q58" s="59">
        <f>SUM(Q56:Q57)</f>
        <v>0</v>
      </c>
      <c r="R58" s="63">
        <f>O58-N58</f>
        <v>-3429</v>
      </c>
      <c r="S58" s="64">
        <f>R58/N58</f>
        <v>-2.66187441293598E-2</v>
      </c>
      <c r="W58" s="63">
        <f>P58-N58</f>
        <v>-3429</v>
      </c>
      <c r="X58" s="64">
        <f>W58/N58</f>
        <v>-2.66187441293598E-2</v>
      </c>
    </row>
    <row r="59" spans="1:24" x14ac:dyDescent="0.2">
      <c r="A59" s="26"/>
      <c r="B59" s="27"/>
      <c r="C59" s="51"/>
      <c r="D59" s="59"/>
      <c r="E59" s="59"/>
      <c r="F59" s="65"/>
      <c r="G59" s="65"/>
      <c r="H59" s="65"/>
      <c r="I59" s="66"/>
      <c r="J59" s="66"/>
      <c r="K59" s="59"/>
      <c r="L59" s="41"/>
      <c r="M59" s="41"/>
      <c r="N59" s="59"/>
      <c r="O59" s="59"/>
      <c r="P59" s="59"/>
      <c r="Q59" s="59"/>
      <c r="R59" s="58"/>
    </row>
    <row r="60" spans="1:24" x14ac:dyDescent="0.2">
      <c r="A60" s="26"/>
      <c r="B60" s="14" t="s">
        <v>78</v>
      </c>
      <c r="C60" s="51"/>
      <c r="D60" s="59" t="s">
        <v>38</v>
      </c>
      <c r="E60" s="59" t="s">
        <v>38</v>
      </c>
      <c r="F60" s="65"/>
      <c r="G60" s="65"/>
      <c r="H60" s="65"/>
      <c r="I60" s="66"/>
      <c r="J60" s="66"/>
      <c r="K60" s="59"/>
      <c r="L60" s="41"/>
      <c r="M60" s="41"/>
      <c r="N60" s="59"/>
      <c r="O60" s="59"/>
      <c r="P60" s="59"/>
      <c r="Q60" s="59"/>
      <c r="R60" s="58"/>
    </row>
    <row r="61" spans="1:24" x14ac:dyDescent="0.2">
      <c r="A61" s="26"/>
      <c r="B61" s="27" t="s">
        <v>64</v>
      </c>
      <c r="C61" s="51">
        <v>115853.01000000001</v>
      </c>
      <c r="D61" s="51">
        <v>126348</v>
      </c>
      <c r="E61" s="51">
        <v>117430</v>
      </c>
      <c r="F61" s="51">
        <v>119585.98000000001</v>
      </c>
      <c r="G61" s="51">
        <v>124999.94</v>
      </c>
      <c r="H61" s="51">
        <f>93116+35188.02+1150</f>
        <v>129454.01999999999</v>
      </c>
      <c r="I61" s="68">
        <v>137732</v>
      </c>
      <c r="J61" s="68">
        <v>108186</v>
      </c>
      <c r="K61" s="51">
        <f>88000+18105.16+750</f>
        <v>106855.16</v>
      </c>
      <c r="L61" s="41">
        <f>[11]Cover!$C$12</f>
        <v>114081.55</v>
      </c>
      <c r="M61" s="41">
        <f>[11]Cover!$C$12</f>
        <v>114081.55</v>
      </c>
      <c r="N61" s="59">
        <f>[11]Cover!$D$12</f>
        <v>114133</v>
      </c>
      <c r="O61" s="59">
        <f>[11]Cover!$E$12</f>
        <v>153415</v>
      </c>
      <c r="P61" s="59">
        <f>[11]Cover!$F$12</f>
        <v>116108</v>
      </c>
      <c r="Q61" s="59">
        <v>0</v>
      </c>
      <c r="R61" s="58"/>
    </row>
    <row r="62" spans="1:24" x14ac:dyDescent="0.2">
      <c r="A62" s="26"/>
      <c r="B62" s="27" t="s">
        <v>67</v>
      </c>
      <c r="C62" s="51">
        <f>8851.49+28285.14</f>
        <v>37136.629999999997</v>
      </c>
      <c r="D62" s="59">
        <v>8150</v>
      </c>
      <c r="E62" s="59">
        <v>35584</v>
      </c>
      <c r="F62" s="65">
        <v>34424.720000000001</v>
      </c>
      <c r="G62" s="65">
        <f>6675.5+5032.95+793+20407.09</f>
        <v>32908.54</v>
      </c>
      <c r="H62" s="65">
        <f>162156.7-H61-H63</f>
        <v>32702.680000000022</v>
      </c>
      <c r="I62" s="66">
        <v>27949</v>
      </c>
      <c r="J62" s="66">
        <v>31380</v>
      </c>
      <c r="K62" s="59">
        <f>8905.96+3563.42+114+121+19184.57</f>
        <v>31888.949999999997</v>
      </c>
      <c r="L62" s="41">
        <f>[11]Cover!$C$15+[11]Cover!$C$18+[11]Cover!$C$21+[11]Cover!$C$24+[11]Cover!$C$30</f>
        <v>33168.5</v>
      </c>
      <c r="M62" s="41">
        <f>[11]Cover!$C$15+[11]Cover!$C$18+[11]Cover!$C$21+[11]Cover!$C$24+[11]Cover!$C$30</f>
        <v>33168.5</v>
      </c>
      <c r="N62" s="59">
        <f>[11]Cover!$D$15+[11]Cover!$D$18+[11]Cover!$D$21+[11]Cover!$D$24+[11]Cover!$D$30</f>
        <v>39136</v>
      </c>
      <c r="O62" s="59">
        <f>[11]Cover!$E$15+[11]Cover!$E$18+[11]Cover!$E$21+[11]Cover!$E$24+[11]Cover!$E$30</f>
        <v>40535</v>
      </c>
      <c r="P62" s="59">
        <f>[11]Cover!$F$15+[11]Cover!$F$18+[11]Cover!$F$21+[11]Cover!$F$24+[11]Cover!$F$30</f>
        <v>40535</v>
      </c>
      <c r="Q62" s="59">
        <v>0</v>
      </c>
      <c r="R62" s="58"/>
    </row>
    <row r="63" spans="1:24" x14ac:dyDescent="0.2">
      <c r="A63" s="26"/>
      <c r="B63" s="27" t="s">
        <v>68</v>
      </c>
      <c r="C63" s="56"/>
      <c r="D63" s="70">
        <v>28497</v>
      </c>
      <c r="E63" s="70"/>
      <c r="F63" s="71"/>
      <c r="G63" s="71"/>
      <c r="H63" s="71">
        <v>0</v>
      </c>
      <c r="I63" s="72">
        <v>0</v>
      </c>
      <c r="J63" s="72">
        <v>0</v>
      </c>
      <c r="K63" s="70">
        <v>0</v>
      </c>
      <c r="L63" s="73">
        <f>[11]Cover!$C$27</f>
        <v>0</v>
      </c>
      <c r="M63" s="73">
        <f>[11]Cover!$C$27</f>
        <v>0</v>
      </c>
      <c r="N63" s="70">
        <f>[11]Cover!$D$27</f>
        <v>0</v>
      </c>
      <c r="O63" s="70">
        <f>[11]Cover!$E$27</f>
        <v>0</v>
      </c>
      <c r="P63" s="70">
        <f>[11]Cover!$F$27</f>
        <v>0</v>
      </c>
      <c r="Q63" s="71">
        <v>0</v>
      </c>
      <c r="R63" s="58"/>
    </row>
    <row r="64" spans="1:24" x14ac:dyDescent="0.2">
      <c r="A64" s="26">
        <v>12</v>
      </c>
      <c r="B64" s="27" t="s">
        <v>65</v>
      </c>
      <c r="C64" s="51">
        <v>152989.64000000001</v>
      </c>
      <c r="D64" s="59">
        <f t="shared" ref="D64:N64" si="11">SUM(D61:D63)</f>
        <v>162995</v>
      </c>
      <c r="E64" s="60">
        <f t="shared" si="11"/>
        <v>153014</v>
      </c>
      <c r="F64" s="61">
        <f t="shared" si="11"/>
        <v>154010.70000000001</v>
      </c>
      <c r="G64" s="61">
        <f t="shared" si="11"/>
        <v>157908.48000000001</v>
      </c>
      <c r="H64" s="60">
        <f t="shared" si="11"/>
        <v>162156.70000000001</v>
      </c>
      <c r="I64" s="62">
        <f t="shared" si="11"/>
        <v>165681</v>
      </c>
      <c r="J64" s="62">
        <f t="shared" si="11"/>
        <v>139566</v>
      </c>
      <c r="K64" s="60">
        <f t="shared" si="11"/>
        <v>138744.10999999999</v>
      </c>
      <c r="L64" s="41">
        <f t="shared" si="11"/>
        <v>147250.04999999999</v>
      </c>
      <c r="M64" s="41">
        <f>SUM(M61:M63)</f>
        <v>147250.04999999999</v>
      </c>
      <c r="N64" s="60">
        <f t="shared" si="11"/>
        <v>153269</v>
      </c>
      <c r="O64" s="60">
        <f>SUM(O61:O63)</f>
        <v>193950</v>
      </c>
      <c r="P64" s="60">
        <f>SUM(P61:P63)</f>
        <v>156643</v>
      </c>
      <c r="Q64" s="60">
        <f>SUM(Q61:Q63)</f>
        <v>0</v>
      </c>
      <c r="R64" s="63">
        <f>O64-N64</f>
        <v>40681</v>
      </c>
      <c r="S64" s="64">
        <f>R64/N64</f>
        <v>0.26542223150147781</v>
      </c>
      <c r="W64" s="63">
        <f>P64-N64</f>
        <v>3374</v>
      </c>
      <c r="X64" s="64">
        <f>W64/N64</f>
        <v>2.201358396022679E-2</v>
      </c>
    </row>
    <row r="65" spans="1:24" x14ac:dyDescent="0.2">
      <c r="A65" s="26"/>
      <c r="B65" s="27"/>
      <c r="C65" s="51"/>
      <c r="D65" s="59"/>
      <c r="E65" s="60"/>
      <c r="F65" s="61"/>
      <c r="G65" s="61"/>
      <c r="H65" s="61"/>
      <c r="I65" s="81"/>
      <c r="J65" s="81"/>
      <c r="K65" s="60"/>
      <c r="L65" s="41"/>
      <c r="M65" s="41"/>
      <c r="N65" s="60"/>
      <c r="O65" s="60"/>
      <c r="P65" s="60"/>
      <c r="Q65" s="60"/>
      <c r="R65" s="62"/>
    </row>
    <row r="66" spans="1:24" x14ac:dyDescent="0.2">
      <c r="A66" s="26"/>
      <c r="B66" s="14" t="s">
        <v>79</v>
      </c>
      <c r="C66" s="51"/>
      <c r="D66" s="59"/>
      <c r="E66" s="59"/>
      <c r="F66" s="65"/>
      <c r="G66" s="65"/>
      <c r="H66" s="65"/>
      <c r="I66" s="66"/>
      <c r="J66" s="66"/>
      <c r="K66" s="59"/>
      <c r="L66" s="41"/>
      <c r="M66" s="41"/>
      <c r="N66" s="59"/>
      <c r="O66" s="59"/>
      <c r="P66" s="59"/>
      <c r="Q66" s="59"/>
      <c r="R66" s="58"/>
    </row>
    <row r="67" spans="1:24" x14ac:dyDescent="0.2">
      <c r="A67" s="26"/>
      <c r="B67" s="27" t="s">
        <v>64</v>
      </c>
      <c r="C67" s="51" t="e">
        <v>#REF!</v>
      </c>
      <c r="D67" s="51" t="e">
        <v>#REF!</v>
      </c>
      <c r="E67" s="51">
        <v>10555</v>
      </c>
      <c r="F67" s="51">
        <v>10143.299999999999</v>
      </c>
      <c r="G67" s="51">
        <v>9943.76</v>
      </c>
      <c r="H67" s="51">
        <f>8162.9+925</f>
        <v>9087.9</v>
      </c>
      <c r="I67" s="68">
        <v>8924</v>
      </c>
      <c r="J67" s="68">
        <v>11255</v>
      </c>
      <c r="K67" s="51">
        <f>7226+418.36</f>
        <v>7644.36</v>
      </c>
      <c r="L67" s="41">
        <f>[12]Cover!C12</f>
        <v>4389.1000000000004</v>
      </c>
      <c r="M67" s="41">
        <f>[12]Cover!D12</f>
        <v>14173</v>
      </c>
      <c r="N67" s="59">
        <f>[12]Cover!D12</f>
        <v>14173</v>
      </c>
      <c r="O67" s="59">
        <f>[12]Cover!E12</f>
        <v>14450</v>
      </c>
      <c r="P67" s="59">
        <f>[12]Cover!F12</f>
        <v>9634</v>
      </c>
      <c r="Q67" s="59">
        <f>[12]Cover!G12</f>
        <v>0</v>
      </c>
      <c r="R67" s="58"/>
    </row>
    <row r="68" spans="1:24" x14ac:dyDescent="0.2">
      <c r="A68" s="26"/>
      <c r="B68" s="27" t="s">
        <v>67</v>
      </c>
      <c r="C68" s="51"/>
      <c r="D68" s="59"/>
      <c r="E68" s="59">
        <v>5099</v>
      </c>
      <c r="F68" s="65">
        <v>4917.4399999999996</v>
      </c>
      <c r="G68" s="65">
        <v>3952.4</v>
      </c>
      <c r="H68" s="65">
        <f>29334.74-H67-H69</f>
        <v>11271.840000000004</v>
      </c>
      <c r="I68" s="66">
        <v>9087</v>
      </c>
      <c r="J68" s="66">
        <v>10940</v>
      </c>
      <c r="K68" s="59">
        <f>2576.35+381.04+5403.24</f>
        <v>8360.6299999999992</v>
      </c>
      <c r="L68" s="41">
        <f>[12]Cover!$C$15+[12]Cover!$C$18+[12]Cover!$C$24</f>
        <v>9698.41</v>
      </c>
      <c r="M68" s="41">
        <f>[12]Cover!$C$15+[12]Cover!$C$18+[12]Cover!$C$24</f>
        <v>9698.41</v>
      </c>
      <c r="N68" s="59">
        <f>[12]Cover!$D$15+[12]Cover!$D$18+[12]Cover!$D$24</f>
        <v>17456</v>
      </c>
      <c r="O68" s="59">
        <f>[12]Cover!$E$15+[12]Cover!$E$18+[12]Cover!$E$24</f>
        <v>18980</v>
      </c>
      <c r="P68" s="59">
        <f>[12]Cover!$F$15+[12]Cover!$F$18+[12]Cover!$F$24</f>
        <v>14218</v>
      </c>
      <c r="Q68" s="59">
        <v>0</v>
      </c>
      <c r="R68" s="58"/>
    </row>
    <row r="69" spans="1:24" x14ac:dyDescent="0.2">
      <c r="A69" s="26"/>
      <c r="B69" s="27" t="s">
        <v>68</v>
      </c>
      <c r="C69" s="56"/>
      <c r="D69" s="70" t="s">
        <v>38</v>
      </c>
      <c r="E69" s="70"/>
      <c r="F69" s="71">
        <v>8999</v>
      </c>
      <c r="G69" s="71">
        <v>8975</v>
      </c>
      <c r="H69" s="71">
        <v>8975</v>
      </c>
      <c r="I69" s="72">
        <v>5300</v>
      </c>
      <c r="J69" s="72">
        <v>0</v>
      </c>
      <c r="K69" s="70">
        <v>0</v>
      </c>
      <c r="L69" s="73">
        <f>[12]Cover!C27</f>
        <v>0</v>
      </c>
      <c r="M69" s="73">
        <f>[12]Cover!D27</f>
        <v>0</v>
      </c>
      <c r="N69" s="70">
        <f>[12]Cover!D27</f>
        <v>0</v>
      </c>
      <c r="O69" s="70">
        <f>[12]Cover!E27</f>
        <v>0</v>
      </c>
      <c r="P69" s="70">
        <f>[12]Cover!F27</f>
        <v>0</v>
      </c>
      <c r="Q69" s="71">
        <f>[12]Cover!G27</f>
        <v>0</v>
      </c>
      <c r="R69" s="58"/>
    </row>
    <row r="70" spans="1:24" x14ac:dyDescent="0.2">
      <c r="A70" s="26">
        <v>13</v>
      </c>
      <c r="B70" s="27" t="s">
        <v>65</v>
      </c>
      <c r="C70" s="51"/>
      <c r="D70" s="59"/>
      <c r="E70" s="59">
        <f t="shared" ref="E70:N70" si="12">SUM(E67:E69)</f>
        <v>15654</v>
      </c>
      <c r="F70" s="65">
        <f t="shared" si="12"/>
        <v>24059.739999999998</v>
      </c>
      <c r="G70" s="65">
        <f t="shared" si="12"/>
        <v>22871.16</v>
      </c>
      <c r="H70" s="59">
        <f t="shared" si="12"/>
        <v>29334.740000000005</v>
      </c>
      <c r="I70" s="58">
        <f t="shared" si="12"/>
        <v>23311</v>
      </c>
      <c r="J70" s="58">
        <f t="shared" si="12"/>
        <v>22195</v>
      </c>
      <c r="K70" s="59">
        <f t="shared" si="12"/>
        <v>16004.989999999998</v>
      </c>
      <c r="L70" s="41">
        <f t="shared" si="12"/>
        <v>14087.51</v>
      </c>
      <c r="M70" s="41">
        <f>SUM(M67:M69)</f>
        <v>23871.41</v>
      </c>
      <c r="N70" s="59">
        <f t="shared" si="12"/>
        <v>31629</v>
      </c>
      <c r="O70" s="59">
        <f>SUM(O67:O69)</f>
        <v>33430</v>
      </c>
      <c r="P70" s="59">
        <f>SUM(P67:P69)</f>
        <v>23852</v>
      </c>
      <c r="Q70" s="59">
        <f>SUM(Q67:Q69)</f>
        <v>0</v>
      </c>
      <c r="R70" s="63">
        <f>O70-N70</f>
        <v>1801</v>
      </c>
      <c r="S70" s="64">
        <f>R70/N70</f>
        <v>5.6941414524645101E-2</v>
      </c>
      <c r="W70" s="63">
        <f>P70-N70</f>
        <v>-7777</v>
      </c>
      <c r="X70" s="64">
        <f>W70/N70</f>
        <v>-0.24588194378576622</v>
      </c>
    </row>
    <row r="71" spans="1:24" x14ac:dyDescent="0.2">
      <c r="A71" s="26"/>
      <c r="B71" s="27"/>
      <c r="C71" s="51"/>
      <c r="D71" s="59"/>
      <c r="E71" s="59"/>
      <c r="F71" s="65"/>
      <c r="G71" s="65"/>
      <c r="H71" s="65"/>
      <c r="I71" s="66"/>
      <c r="J71" s="66"/>
      <c r="K71" s="59"/>
      <c r="L71" s="41"/>
      <c r="M71" s="41"/>
      <c r="N71" s="59"/>
      <c r="O71" s="59"/>
      <c r="P71" s="59"/>
      <c r="Q71" s="59"/>
      <c r="R71" s="58"/>
    </row>
    <row r="72" spans="1:24" hidden="1" x14ac:dyDescent="0.2">
      <c r="A72" s="31"/>
      <c r="B72" s="14" t="s">
        <v>80</v>
      </c>
      <c r="C72" s="51"/>
      <c r="D72" s="59"/>
      <c r="E72" s="59"/>
      <c r="F72" s="65"/>
      <c r="G72" s="65"/>
      <c r="H72" s="65"/>
      <c r="I72" s="66"/>
      <c r="J72" s="66"/>
      <c r="K72" s="59"/>
      <c r="L72" s="41"/>
      <c r="M72" s="41"/>
      <c r="N72" s="59"/>
      <c r="O72" s="59"/>
      <c r="P72" s="59"/>
      <c r="Q72" s="59"/>
      <c r="R72" s="58"/>
    </row>
    <row r="73" spans="1:24" hidden="1" x14ac:dyDescent="0.2">
      <c r="A73" s="26"/>
      <c r="B73" s="27" t="s">
        <v>64</v>
      </c>
      <c r="C73" s="51">
        <v>16928.240000000002</v>
      </c>
      <c r="D73" s="51">
        <v>21931</v>
      </c>
      <c r="E73" s="51">
        <v>22552</v>
      </c>
      <c r="F73" s="51">
        <v>23387.040000000001</v>
      </c>
      <c r="G73" s="51">
        <v>24313</v>
      </c>
      <c r="H73" s="51">
        <f>24729.75+250</f>
        <v>24979.75</v>
      </c>
      <c r="I73" s="68">
        <v>25528</v>
      </c>
      <c r="J73" s="68">
        <v>25528</v>
      </c>
      <c r="K73" s="51">
        <f>25277.85+1670.67+250</f>
        <v>27198.519999999997</v>
      </c>
      <c r="L73" s="51">
        <f>[13]Cover!$B$12</f>
        <v>27966.71</v>
      </c>
      <c r="M73" s="51"/>
      <c r="N73" s="51"/>
      <c r="O73" s="51">
        <f>[13]Cover!$D$12</f>
        <v>0</v>
      </c>
      <c r="P73" s="51">
        <f>[13]Cover!$E$12</f>
        <v>0</v>
      </c>
      <c r="Q73" s="51">
        <v>0</v>
      </c>
      <c r="R73" s="58"/>
    </row>
    <row r="74" spans="1:24" hidden="1" x14ac:dyDescent="0.2">
      <c r="A74" s="26"/>
      <c r="B74" s="27" t="s">
        <v>67</v>
      </c>
      <c r="C74" s="51">
        <f>SUM(220.77+23.56+525)</f>
        <v>769.33</v>
      </c>
      <c r="D74" s="59">
        <v>375</v>
      </c>
      <c r="E74" s="59">
        <v>1157</v>
      </c>
      <c r="F74" s="65">
        <v>769.57</v>
      </c>
      <c r="G74" s="65">
        <f>123.21+75+300</f>
        <v>498.21</v>
      </c>
      <c r="H74" s="65">
        <f>25867.67-H73-H75</f>
        <v>887.91999999999825</v>
      </c>
      <c r="I74" s="66">
        <v>979</v>
      </c>
      <c r="J74" s="66">
        <v>794</v>
      </c>
      <c r="K74" s="59">
        <f>103.71+175.39+382+91</f>
        <v>752.09999999999991</v>
      </c>
      <c r="L74" s="65">
        <f>[13]Cover!$B$15+[13]Cover!$B$18+[13]Cover!$B$21+[13]Cover!$B$24+[13]Cover!$B$30</f>
        <v>1224.94</v>
      </c>
      <c r="M74" s="65"/>
      <c r="N74" s="65"/>
      <c r="O74" s="65">
        <f>[13]Cover!$D$15+[13]Cover!$D$18+[13]Cover!$D$21+[13]Cover!$D$24+[13]Cover!$D$30</f>
        <v>0</v>
      </c>
      <c r="P74" s="65">
        <f>[13]Cover!$E$15+[13]Cover!$E$18+[13]Cover!$E$21+[13]Cover!$E$24+[13]Cover!$E$30</f>
        <v>0</v>
      </c>
      <c r="Q74" s="65">
        <v>0</v>
      </c>
      <c r="R74" s="58"/>
    </row>
    <row r="75" spans="1:24" hidden="1" x14ac:dyDescent="0.2">
      <c r="A75" s="26"/>
      <c r="B75" s="27" t="s">
        <v>68</v>
      </c>
      <c r="C75" s="56"/>
      <c r="D75" s="70">
        <v>850</v>
      </c>
      <c r="E75" s="70"/>
      <c r="F75" s="71"/>
      <c r="G75" s="71"/>
      <c r="H75" s="71">
        <v>0</v>
      </c>
      <c r="I75" s="72">
        <v>0</v>
      </c>
      <c r="J75" s="72">
        <v>0</v>
      </c>
      <c r="K75" s="70">
        <v>0</v>
      </c>
      <c r="L75" s="71">
        <f>[13]Cover!$B$27</f>
        <v>0</v>
      </c>
      <c r="M75" s="71">
        <f>[13]Cover!$B$27</f>
        <v>0</v>
      </c>
      <c r="N75" s="71">
        <f>[13]Cover!$C$27</f>
        <v>0</v>
      </c>
      <c r="O75" s="71">
        <f>[13]Cover!$D$27</f>
        <v>0</v>
      </c>
      <c r="P75" s="71">
        <f>[13]Cover!$E$27</f>
        <v>0</v>
      </c>
      <c r="Q75" s="71">
        <v>0</v>
      </c>
      <c r="R75" s="58"/>
    </row>
    <row r="76" spans="1:24" hidden="1" x14ac:dyDescent="0.2">
      <c r="A76" s="26">
        <v>14</v>
      </c>
      <c r="B76" s="27" t="s">
        <v>65</v>
      </c>
      <c r="C76" s="51">
        <v>17697.57</v>
      </c>
      <c r="D76" s="59">
        <f t="shared" ref="D76:N76" si="13">SUM(D73:D75)</f>
        <v>23156</v>
      </c>
      <c r="E76" s="59">
        <f t="shared" si="13"/>
        <v>23709</v>
      </c>
      <c r="F76" s="65">
        <f t="shared" si="13"/>
        <v>24156.61</v>
      </c>
      <c r="G76" s="65">
        <f t="shared" si="13"/>
        <v>24811.21</v>
      </c>
      <c r="H76" s="59">
        <f t="shared" si="13"/>
        <v>25867.67</v>
      </c>
      <c r="I76" s="58">
        <f t="shared" si="13"/>
        <v>26507</v>
      </c>
      <c r="J76" s="58">
        <f t="shared" si="13"/>
        <v>26322</v>
      </c>
      <c r="K76" s="59">
        <f t="shared" si="13"/>
        <v>27950.619999999995</v>
      </c>
      <c r="L76" s="41">
        <f t="shared" si="13"/>
        <v>29191.649999999998</v>
      </c>
      <c r="M76" s="41">
        <f>SUM(M73:M75)</f>
        <v>0</v>
      </c>
      <c r="N76" s="59">
        <f t="shared" si="13"/>
        <v>0</v>
      </c>
      <c r="O76" s="59">
        <f>SUM(O73:O75)</f>
        <v>0</v>
      </c>
      <c r="P76" s="59">
        <f>SUM(P73:P75)</f>
        <v>0</v>
      </c>
      <c r="Q76" s="59">
        <f>SUM(Q73:Q75)</f>
        <v>0</v>
      </c>
      <c r="R76" s="63">
        <f>O76-N76</f>
        <v>0</v>
      </c>
      <c r="S76" s="64"/>
      <c r="W76" s="63"/>
      <c r="X76" s="64"/>
    </row>
    <row r="77" spans="1:24" hidden="1" x14ac:dyDescent="0.2">
      <c r="A77" s="26"/>
      <c r="B77" s="27"/>
      <c r="C77" s="51"/>
      <c r="D77" s="59"/>
      <c r="E77" s="59"/>
      <c r="F77" s="65"/>
      <c r="G77" s="65"/>
      <c r="H77" s="65"/>
      <c r="I77" s="66"/>
      <c r="J77" s="66"/>
      <c r="K77" s="59"/>
      <c r="L77" s="41"/>
      <c r="M77" s="41"/>
      <c r="N77" s="59"/>
      <c r="O77" s="59"/>
      <c r="P77" s="59"/>
      <c r="Q77" s="59"/>
      <c r="R77" s="58"/>
    </row>
    <row r="78" spans="1:24" hidden="1" x14ac:dyDescent="0.2">
      <c r="A78" s="26"/>
      <c r="B78" s="14" t="s">
        <v>81</v>
      </c>
      <c r="C78" s="51"/>
      <c r="D78" s="59"/>
      <c r="E78" s="59"/>
      <c r="F78" s="65"/>
      <c r="G78" s="65"/>
      <c r="H78" s="65"/>
      <c r="I78" s="66"/>
      <c r="J78" s="66"/>
      <c r="K78" s="59"/>
      <c r="L78" s="41"/>
      <c r="M78" s="41"/>
      <c r="N78" s="59"/>
      <c r="O78" s="59"/>
      <c r="P78" s="59"/>
      <c r="Q78" s="59"/>
      <c r="R78" s="58"/>
    </row>
    <row r="79" spans="1:24" hidden="1" x14ac:dyDescent="0.2">
      <c r="A79" s="26"/>
      <c r="B79" s="27" t="s">
        <v>64</v>
      </c>
      <c r="C79" s="51">
        <v>72434.989999999991</v>
      </c>
      <c r="D79" s="51">
        <v>17612</v>
      </c>
      <c r="E79" s="51" t="e">
        <v>#REF!</v>
      </c>
      <c r="F79" s="51" t="e">
        <v>#REF!</v>
      </c>
      <c r="G79" s="51" t="e">
        <v>#REF!</v>
      </c>
      <c r="H79" s="51">
        <f>35120.61+250</f>
        <v>35370.61</v>
      </c>
      <c r="I79" s="68">
        <v>36205</v>
      </c>
      <c r="J79" s="68">
        <v>36205</v>
      </c>
      <c r="K79" s="51">
        <f>35866.8+250</f>
        <v>36116.800000000003</v>
      </c>
      <c r="L79" s="51" t="e">
        <f>#REF!</f>
        <v>#REF!</v>
      </c>
      <c r="M79" s="51"/>
      <c r="N79" s="51"/>
      <c r="O79" s="51">
        <f>[14]Cover!$E$12</f>
        <v>0</v>
      </c>
      <c r="P79" s="51">
        <f>[14]Cover!$F$12</f>
        <v>0</v>
      </c>
      <c r="Q79" s="51">
        <v>0</v>
      </c>
      <c r="R79" s="58"/>
    </row>
    <row r="80" spans="1:24" hidden="1" x14ac:dyDescent="0.2">
      <c r="A80" s="26"/>
      <c r="B80" s="27" t="s">
        <v>67</v>
      </c>
      <c r="C80" s="51">
        <f>732.03+699.9+1695.71</f>
        <v>3127.64</v>
      </c>
      <c r="D80" s="59">
        <v>1450</v>
      </c>
      <c r="E80" s="59">
        <v>13442</v>
      </c>
      <c r="F80" s="65">
        <v>760.46</v>
      </c>
      <c r="G80" s="65">
        <f>249.45+385.59+90+200.97+571.11</f>
        <v>1497.12</v>
      </c>
      <c r="H80" s="65">
        <f>37091.2-H79-H81</f>
        <v>1720.5899999999965</v>
      </c>
      <c r="I80" s="66">
        <v>1851</v>
      </c>
      <c r="J80" s="66">
        <v>1344</v>
      </c>
      <c r="K80" s="59">
        <f>847.82+2+1086.84</f>
        <v>1936.6599999999999</v>
      </c>
      <c r="L80" s="65" t="e">
        <f>#REF!+#REF!+#REF!+#REF!+#REF!</f>
        <v>#REF!</v>
      </c>
      <c r="M80" s="65"/>
      <c r="N80" s="65"/>
      <c r="O80" s="65">
        <f>[14]Cover!$E$15+[14]Cover!$E$18+[14]Cover!$E$21+[14]Cover!$E$24+[14]Cover!$E$30</f>
        <v>0</v>
      </c>
      <c r="P80" s="65">
        <f>[14]Cover!$F$15+[14]Cover!$F$18+[14]Cover!$F$21+[14]Cover!$F$24+[14]Cover!$F$30</f>
        <v>0</v>
      </c>
      <c r="Q80" s="65">
        <v>0</v>
      </c>
      <c r="R80" s="58"/>
    </row>
    <row r="81" spans="1:24" hidden="1" x14ac:dyDescent="0.2">
      <c r="A81" s="26"/>
      <c r="B81" s="27" t="s">
        <v>68</v>
      </c>
      <c r="C81" s="56"/>
      <c r="D81" s="70">
        <v>2600</v>
      </c>
      <c r="E81" s="70"/>
      <c r="F81" s="71"/>
      <c r="G81" s="71"/>
      <c r="H81" s="71">
        <v>0</v>
      </c>
      <c r="I81" s="72">
        <v>0</v>
      </c>
      <c r="J81" s="72">
        <v>0</v>
      </c>
      <c r="K81" s="70">
        <v>0</v>
      </c>
      <c r="L81" s="71" t="e">
        <f>#REF!</f>
        <v>#REF!</v>
      </c>
      <c r="M81" s="71">
        <f>[14]Cover!$C$27</f>
        <v>0</v>
      </c>
      <c r="N81" s="71">
        <f>[14]Cover!$D$27</f>
        <v>0</v>
      </c>
      <c r="O81" s="71">
        <f>[14]Cover!$E$27</f>
        <v>0</v>
      </c>
      <c r="P81" s="71">
        <f>[14]Cover!$F$27</f>
        <v>0</v>
      </c>
      <c r="Q81" s="71">
        <v>0</v>
      </c>
      <c r="R81" s="58"/>
    </row>
    <row r="82" spans="1:24" hidden="1" x14ac:dyDescent="0.2">
      <c r="A82" s="26">
        <v>15</v>
      </c>
      <c r="B82" s="27" t="s">
        <v>65</v>
      </c>
      <c r="C82" s="51">
        <f t="shared" ref="C82:N82" si="14">SUM(C79:C81)</f>
        <v>75562.62999999999</v>
      </c>
      <c r="D82" s="51">
        <f t="shared" si="14"/>
        <v>21662</v>
      </c>
      <c r="E82" s="51" t="e">
        <f t="shared" si="14"/>
        <v>#REF!</v>
      </c>
      <c r="F82" s="51" t="e">
        <f t="shared" si="14"/>
        <v>#REF!</v>
      </c>
      <c r="G82" s="51" t="e">
        <f t="shared" si="14"/>
        <v>#REF!</v>
      </c>
      <c r="H82" s="51">
        <f t="shared" si="14"/>
        <v>37091.199999999997</v>
      </c>
      <c r="I82" s="68">
        <f t="shared" si="14"/>
        <v>38056</v>
      </c>
      <c r="J82" s="68">
        <f t="shared" si="14"/>
        <v>37549</v>
      </c>
      <c r="K82" s="51">
        <f t="shared" si="14"/>
        <v>38053.460000000006</v>
      </c>
      <c r="L82" s="41" t="e">
        <f t="shared" si="14"/>
        <v>#REF!</v>
      </c>
      <c r="M82" s="41">
        <f>SUM(M79:M81)</f>
        <v>0</v>
      </c>
      <c r="N82" s="59">
        <f t="shared" si="14"/>
        <v>0</v>
      </c>
      <c r="O82" s="59">
        <f>SUM(O79:O81)</f>
        <v>0</v>
      </c>
      <c r="P82" s="59">
        <f>SUM(P79:P81)</f>
        <v>0</v>
      </c>
      <c r="Q82" s="59">
        <f>SUM(Q79:Q81)</f>
        <v>0</v>
      </c>
      <c r="R82" s="63">
        <f>O82-N82</f>
        <v>0</v>
      </c>
      <c r="S82" s="64"/>
      <c r="W82" s="63"/>
      <c r="X82" s="64"/>
    </row>
    <row r="83" spans="1:24" hidden="1" x14ac:dyDescent="0.2">
      <c r="A83" s="26"/>
      <c r="B83" s="27"/>
      <c r="C83" s="51"/>
      <c r="D83" s="59"/>
      <c r="E83" s="59"/>
      <c r="F83" s="65"/>
      <c r="G83" s="65"/>
      <c r="H83" s="65"/>
      <c r="I83" s="66"/>
      <c r="J83" s="66"/>
      <c r="K83" s="59"/>
      <c r="L83" s="41"/>
      <c r="M83" s="41"/>
      <c r="N83" s="59"/>
      <c r="O83" s="59"/>
      <c r="P83" s="59"/>
      <c r="Q83" s="59"/>
      <c r="R83" s="58"/>
    </row>
    <row r="84" spans="1:24" hidden="1" x14ac:dyDescent="0.2">
      <c r="A84" s="26"/>
      <c r="B84" s="14" t="s">
        <v>82</v>
      </c>
      <c r="C84" s="51"/>
      <c r="D84" s="59"/>
      <c r="E84" s="59"/>
      <c r="F84" s="65"/>
      <c r="G84" s="65"/>
      <c r="H84" s="65"/>
      <c r="I84" s="66"/>
      <c r="J84" s="66"/>
      <c r="K84" s="59"/>
      <c r="L84" s="41"/>
      <c r="M84" s="41"/>
      <c r="N84" s="59"/>
      <c r="O84" s="59"/>
      <c r="P84" s="59"/>
      <c r="Q84" s="59"/>
      <c r="R84" s="58"/>
    </row>
    <row r="85" spans="1:24" hidden="1" x14ac:dyDescent="0.2">
      <c r="A85" s="26"/>
      <c r="B85" s="27" t="s">
        <v>64</v>
      </c>
      <c r="C85" s="51">
        <v>3400</v>
      </c>
      <c r="D85" s="51">
        <v>2200</v>
      </c>
      <c r="E85" s="51">
        <v>3699</v>
      </c>
      <c r="F85" s="51">
        <v>4320</v>
      </c>
      <c r="G85" s="51">
        <v>2500</v>
      </c>
      <c r="H85" s="51">
        <v>0</v>
      </c>
      <c r="I85" s="68">
        <v>0</v>
      </c>
      <c r="J85" s="68">
        <v>0</v>
      </c>
      <c r="K85" s="51">
        <v>0</v>
      </c>
      <c r="L85" s="83">
        <v>0</v>
      </c>
      <c r="M85" s="83">
        <v>0</v>
      </c>
      <c r="N85" s="51">
        <v>0</v>
      </c>
      <c r="O85" s="51">
        <v>0</v>
      </c>
      <c r="P85" s="51">
        <v>0</v>
      </c>
      <c r="Q85" s="51">
        <v>0</v>
      </c>
      <c r="R85" s="68"/>
    </row>
    <row r="86" spans="1:24" hidden="1" x14ac:dyDescent="0.2">
      <c r="A86" s="26"/>
      <c r="B86" s="27" t="s">
        <v>67</v>
      </c>
      <c r="C86" s="51">
        <v>30</v>
      </c>
      <c r="D86" s="59">
        <v>130</v>
      </c>
      <c r="E86" s="51">
        <v>140</v>
      </c>
      <c r="F86" s="77">
        <v>165.99</v>
      </c>
      <c r="G86" s="77">
        <v>50</v>
      </c>
      <c r="H86" s="77">
        <v>0</v>
      </c>
      <c r="I86" s="78">
        <v>0</v>
      </c>
      <c r="J86" s="78">
        <v>0</v>
      </c>
      <c r="K86" s="51">
        <v>0</v>
      </c>
      <c r="L86" s="83">
        <v>0</v>
      </c>
      <c r="M86" s="83">
        <v>0</v>
      </c>
      <c r="N86" s="51"/>
      <c r="O86" s="51">
        <v>0</v>
      </c>
      <c r="P86" s="51">
        <v>0</v>
      </c>
      <c r="Q86" s="51">
        <v>0</v>
      </c>
      <c r="R86" s="68"/>
    </row>
    <row r="87" spans="1:24" hidden="1" x14ac:dyDescent="0.2">
      <c r="A87" s="26"/>
      <c r="B87" s="27" t="s">
        <v>68</v>
      </c>
      <c r="C87" s="56">
        <v>0</v>
      </c>
      <c r="D87" s="70">
        <v>50</v>
      </c>
      <c r="E87" s="56"/>
      <c r="F87" s="71"/>
      <c r="G87" s="71"/>
      <c r="H87" s="71">
        <v>0</v>
      </c>
      <c r="I87" s="72">
        <v>0</v>
      </c>
      <c r="J87" s="72">
        <v>0</v>
      </c>
      <c r="K87" s="70">
        <v>0</v>
      </c>
      <c r="L87" s="73">
        <v>0</v>
      </c>
      <c r="M87" s="73">
        <v>0</v>
      </c>
      <c r="N87" s="70">
        <v>0</v>
      </c>
      <c r="O87" s="70">
        <v>0</v>
      </c>
      <c r="P87" s="70">
        <v>0</v>
      </c>
      <c r="Q87" s="71">
        <v>0</v>
      </c>
      <c r="R87" s="58"/>
    </row>
    <row r="88" spans="1:24" hidden="1" x14ac:dyDescent="0.2">
      <c r="A88" s="26">
        <v>16</v>
      </c>
      <c r="B88" s="27" t="s">
        <v>65</v>
      </c>
      <c r="C88" s="51">
        <v>3430</v>
      </c>
      <c r="D88" s="59">
        <f t="shared" ref="D88:N88" si="15">SUM(D85:D87)</f>
        <v>2380</v>
      </c>
      <c r="E88" s="60">
        <f t="shared" si="15"/>
        <v>3839</v>
      </c>
      <c r="F88" s="61">
        <f t="shared" si="15"/>
        <v>4485.99</v>
      </c>
      <c r="G88" s="61">
        <f t="shared" si="15"/>
        <v>2550</v>
      </c>
      <c r="H88" s="60">
        <f t="shared" si="15"/>
        <v>0</v>
      </c>
      <c r="I88" s="62">
        <f t="shared" si="15"/>
        <v>0</v>
      </c>
      <c r="J88" s="62">
        <f t="shared" si="15"/>
        <v>0</v>
      </c>
      <c r="K88" s="60">
        <f t="shared" si="15"/>
        <v>0</v>
      </c>
      <c r="L88" s="41">
        <f t="shared" si="15"/>
        <v>0</v>
      </c>
      <c r="M88" s="41">
        <f>SUM(M85:M87)</f>
        <v>0</v>
      </c>
      <c r="N88" s="60">
        <f t="shared" si="15"/>
        <v>0</v>
      </c>
      <c r="O88" s="60">
        <f>SUM(O85:O87)</f>
        <v>0</v>
      </c>
      <c r="P88" s="60">
        <f>SUM(P85:P87)</f>
        <v>0</v>
      </c>
      <c r="Q88" s="60">
        <f>SUM(Q85:Q87)</f>
        <v>0</v>
      </c>
      <c r="R88" s="63">
        <f>O88-N88</f>
        <v>0</v>
      </c>
      <c r="S88" s="64"/>
      <c r="W88" s="63"/>
      <c r="X88" s="64"/>
    </row>
    <row r="89" spans="1:24" x14ac:dyDescent="0.2">
      <c r="A89" s="26"/>
      <c r="B89" s="27"/>
      <c r="C89" s="51"/>
      <c r="D89" s="59"/>
      <c r="E89" s="60"/>
      <c r="F89" s="61"/>
      <c r="G89" s="61"/>
      <c r="H89" s="61"/>
      <c r="I89" s="81"/>
      <c r="J89" s="81"/>
      <c r="K89" s="60"/>
      <c r="L89" s="41"/>
      <c r="M89" s="41"/>
      <c r="N89" s="60"/>
      <c r="O89" s="60"/>
      <c r="P89" s="60"/>
      <c r="Q89" s="60"/>
      <c r="R89" s="62"/>
    </row>
    <row r="90" spans="1:24" x14ac:dyDescent="0.2">
      <c r="A90" s="26"/>
      <c r="B90" s="14" t="s">
        <v>199</v>
      </c>
      <c r="C90" s="51"/>
      <c r="D90" s="59"/>
      <c r="E90" s="59"/>
      <c r="F90" s="65"/>
      <c r="G90" s="65"/>
      <c r="H90" s="65"/>
      <c r="I90" s="66"/>
      <c r="J90" s="66"/>
      <c r="K90" s="59"/>
      <c r="L90" s="41"/>
      <c r="M90" s="41"/>
      <c r="N90" s="59"/>
      <c r="O90" s="59"/>
      <c r="P90" s="59"/>
      <c r="Q90" s="59"/>
      <c r="R90" s="58"/>
    </row>
    <row r="91" spans="1:24" x14ac:dyDescent="0.2">
      <c r="A91" s="26"/>
      <c r="B91" s="27" t="s">
        <v>64</v>
      </c>
      <c r="C91" s="51">
        <v>0</v>
      </c>
      <c r="D91" s="51">
        <v>57787</v>
      </c>
      <c r="E91" s="51">
        <v>52250</v>
      </c>
      <c r="F91" s="51">
        <v>54500</v>
      </c>
      <c r="G91" s="51">
        <v>56408</v>
      </c>
      <c r="H91" s="51">
        <v>60319</v>
      </c>
      <c r="I91" s="68">
        <v>60319</v>
      </c>
      <c r="J91" s="68">
        <v>60319</v>
      </c>
      <c r="K91" s="51">
        <v>60319</v>
      </c>
      <c r="L91" s="41">
        <f>[15]Cover!$C$12</f>
        <v>129377.31000000001</v>
      </c>
      <c r="M91" s="41">
        <f>[15]Cover!$C$12</f>
        <v>129377.31000000001</v>
      </c>
      <c r="N91" s="59">
        <f>[15]Cover!$D$12</f>
        <v>131673</v>
      </c>
      <c r="O91" s="59">
        <f>[15]Cover!$E$12</f>
        <v>135094.48000000001</v>
      </c>
      <c r="P91" s="59">
        <f>[15]Cover!$F$12</f>
        <v>139730</v>
      </c>
      <c r="Q91" s="59">
        <v>0</v>
      </c>
      <c r="R91" s="58"/>
    </row>
    <row r="92" spans="1:24" x14ac:dyDescent="0.2">
      <c r="A92" s="26"/>
      <c r="B92" s="27" t="s">
        <v>67</v>
      </c>
      <c r="C92" s="51">
        <v>0</v>
      </c>
      <c r="D92" s="59"/>
      <c r="E92" s="59">
        <v>2152</v>
      </c>
      <c r="F92" s="65">
        <v>907.4</v>
      </c>
      <c r="G92" s="65">
        <f>28.11+26.54+340.3+47.62+150+339.11+59.35</f>
        <v>991.03</v>
      </c>
      <c r="H92" s="65">
        <f>61575.9-H91-H93</f>
        <v>1256.9000000000015</v>
      </c>
      <c r="I92" s="66">
        <v>1146</v>
      </c>
      <c r="J92" s="66">
        <v>604</v>
      </c>
      <c r="K92" s="59">
        <f>180.99+360+321.36</f>
        <v>862.35</v>
      </c>
      <c r="L92" s="41">
        <f>[15]Cover!$C$15+[15]Cover!$C$18+[15]Cover!$C$21+[15]Cover!$C$24+[15]Cover!$C$30</f>
        <v>3392.19</v>
      </c>
      <c r="M92" s="41">
        <f>[15]Cover!$C$15+[15]Cover!$C$18+[15]Cover!$C$21+[15]Cover!$C$24+[15]Cover!$C$30</f>
        <v>3392.19</v>
      </c>
      <c r="N92" s="59">
        <f>[15]Cover!$D$15+[15]Cover!$D$18+[15]Cover!$D$21+[15]Cover!$D$24+[15]Cover!$D$30</f>
        <v>5425</v>
      </c>
      <c r="O92" s="59">
        <f>[15]Cover!$E$15+[15]Cover!$E$18+[15]Cover!$E$21+[15]Cover!$E$24+[15]Cover!$E$30</f>
        <v>13124</v>
      </c>
      <c r="P92" s="59">
        <f>[15]Cover!$F$15+[15]Cover!$F$18+[15]Cover!$F$21+[15]Cover!$F$24+[15]Cover!$F$30</f>
        <v>12974</v>
      </c>
      <c r="Q92" s="59">
        <v>0</v>
      </c>
      <c r="R92" s="58"/>
    </row>
    <row r="93" spans="1:24" x14ac:dyDescent="0.2">
      <c r="A93" s="26"/>
      <c r="B93" s="27" t="s">
        <v>68</v>
      </c>
      <c r="C93" s="56">
        <v>0</v>
      </c>
      <c r="D93" s="70"/>
      <c r="E93" s="70"/>
      <c r="F93" s="71"/>
      <c r="G93" s="71">
        <v>1110.25</v>
      </c>
      <c r="H93" s="71">
        <v>0</v>
      </c>
      <c r="I93" s="72">
        <v>0</v>
      </c>
      <c r="J93" s="72">
        <v>0</v>
      </c>
      <c r="K93" s="70">
        <v>0</v>
      </c>
      <c r="L93" s="73">
        <f>[15]Cover!$C$27</f>
        <v>0</v>
      </c>
      <c r="M93" s="73">
        <f>[15]Cover!$C$27</f>
        <v>0</v>
      </c>
      <c r="N93" s="70">
        <f>[15]Cover!$D$27</f>
        <v>0</v>
      </c>
      <c r="O93" s="70">
        <f>[15]Cover!$E$27</f>
        <v>0</v>
      </c>
      <c r="P93" s="70">
        <f>[15]Cover!$F$27</f>
        <v>0</v>
      </c>
      <c r="Q93" s="71">
        <v>0</v>
      </c>
      <c r="R93" s="58"/>
    </row>
    <row r="94" spans="1:24" x14ac:dyDescent="0.2">
      <c r="A94" s="26">
        <v>14</v>
      </c>
      <c r="B94" s="27" t="s">
        <v>65</v>
      </c>
      <c r="C94" s="51">
        <v>0</v>
      </c>
      <c r="D94" s="59">
        <f t="shared" ref="D94:N94" si="16">SUM(D91:D93)</f>
        <v>57787</v>
      </c>
      <c r="E94" s="59">
        <f t="shared" si="16"/>
        <v>54402</v>
      </c>
      <c r="F94" s="65">
        <f t="shared" si="16"/>
        <v>55407.4</v>
      </c>
      <c r="G94" s="65">
        <f t="shared" si="16"/>
        <v>58509.279999999999</v>
      </c>
      <c r="H94" s="59">
        <f t="shared" si="16"/>
        <v>61575.9</v>
      </c>
      <c r="I94" s="58">
        <f t="shared" si="16"/>
        <v>61465</v>
      </c>
      <c r="J94" s="58">
        <f t="shared" si="16"/>
        <v>60923</v>
      </c>
      <c r="K94" s="59">
        <f t="shared" si="16"/>
        <v>61181.35</v>
      </c>
      <c r="L94" s="41">
        <f t="shared" si="16"/>
        <v>132769.5</v>
      </c>
      <c r="M94" s="41">
        <f>SUM(M91:M93)</f>
        <v>132769.5</v>
      </c>
      <c r="N94" s="59">
        <f t="shared" si="16"/>
        <v>137098</v>
      </c>
      <c r="O94" s="59">
        <f>SUM(O91:O93)</f>
        <v>148218.48000000001</v>
      </c>
      <c r="P94" s="59">
        <f>SUM(P91:P93)</f>
        <v>152704</v>
      </c>
      <c r="Q94" s="59">
        <f>SUM(Q91:Q93)</f>
        <v>0</v>
      </c>
      <c r="R94" s="63">
        <f>O94-N94</f>
        <v>11120.48000000001</v>
      </c>
      <c r="S94" s="64">
        <f>R94/N94</f>
        <v>8.1113364162861676E-2</v>
      </c>
      <c r="W94" s="63">
        <f>P94-N94</f>
        <v>15606</v>
      </c>
      <c r="X94" s="64">
        <f>W94/N94</f>
        <v>0.11383098221710018</v>
      </c>
    </row>
    <row r="95" spans="1:24" x14ac:dyDescent="0.2">
      <c r="A95" s="26"/>
      <c r="B95" s="27"/>
      <c r="C95" s="51"/>
      <c r="D95" s="59"/>
      <c r="E95" s="59"/>
      <c r="K95" s="59"/>
      <c r="L95" s="41"/>
      <c r="M95" s="41"/>
      <c r="N95" s="59"/>
      <c r="O95" s="59"/>
      <c r="P95" s="59"/>
      <c r="Q95" s="59"/>
      <c r="R95" s="58"/>
    </row>
    <row r="96" spans="1:24" x14ac:dyDescent="0.2">
      <c r="A96" s="26"/>
      <c r="B96" s="14" t="s">
        <v>83</v>
      </c>
      <c r="C96" s="51">
        <v>0</v>
      </c>
      <c r="D96" s="59"/>
      <c r="E96" s="59"/>
      <c r="F96" s="65"/>
      <c r="G96" s="65"/>
      <c r="H96" s="65"/>
      <c r="I96" s="66"/>
      <c r="J96" s="66"/>
      <c r="K96" s="59"/>
      <c r="L96" s="41"/>
      <c r="M96" s="41"/>
      <c r="N96" s="59"/>
      <c r="O96" s="59"/>
      <c r="P96" s="59"/>
      <c r="Q96" s="59"/>
      <c r="R96" s="58"/>
    </row>
    <row r="97" spans="1:24" x14ac:dyDescent="0.2">
      <c r="A97" s="26"/>
      <c r="B97" s="27" t="s">
        <v>67</v>
      </c>
      <c r="C97" s="51">
        <v>0</v>
      </c>
      <c r="D97" s="59">
        <v>0</v>
      </c>
      <c r="E97" s="59">
        <v>0</v>
      </c>
      <c r="F97" s="65">
        <v>0</v>
      </c>
      <c r="G97" s="65">
        <v>0</v>
      </c>
      <c r="H97" s="65">
        <v>0</v>
      </c>
      <c r="I97" s="66">
        <v>1</v>
      </c>
      <c r="J97" s="66">
        <v>0</v>
      </c>
      <c r="K97" s="65">
        <v>0</v>
      </c>
      <c r="L97" s="75">
        <v>1</v>
      </c>
      <c r="M97" s="75"/>
      <c r="N97" s="65"/>
      <c r="O97" s="65"/>
      <c r="P97" s="65">
        <v>0</v>
      </c>
      <c r="Q97" s="65">
        <v>0</v>
      </c>
      <c r="R97" s="66"/>
    </row>
    <row r="98" spans="1:24" x14ac:dyDescent="0.2">
      <c r="A98" s="26"/>
      <c r="B98" s="27" t="s">
        <v>68</v>
      </c>
      <c r="C98" s="56">
        <v>0</v>
      </c>
      <c r="D98" s="70">
        <v>0</v>
      </c>
      <c r="E98" s="70">
        <v>0</v>
      </c>
      <c r="F98" s="71">
        <v>0</v>
      </c>
      <c r="G98" s="71">
        <v>0</v>
      </c>
      <c r="H98" s="71">
        <v>0</v>
      </c>
      <c r="I98" s="72">
        <v>0</v>
      </c>
      <c r="J98" s="72">
        <v>0</v>
      </c>
      <c r="K98" s="71">
        <v>0</v>
      </c>
      <c r="L98" s="80">
        <v>0</v>
      </c>
      <c r="M98" s="80">
        <v>0</v>
      </c>
      <c r="N98" s="71">
        <v>0</v>
      </c>
      <c r="O98" s="71">
        <v>0</v>
      </c>
      <c r="P98" s="71">
        <v>0</v>
      </c>
      <c r="Q98" s="71">
        <v>0</v>
      </c>
      <c r="R98" s="66"/>
    </row>
    <row r="99" spans="1:24" x14ac:dyDescent="0.2">
      <c r="A99" s="26">
        <v>15</v>
      </c>
      <c r="B99" s="27" t="s">
        <v>65</v>
      </c>
      <c r="C99" s="59">
        <f t="shared" ref="C99:N99" si="17">SUM(C97:C98)</f>
        <v>0</v>
      </c>
      <c r="D99" s="59">
        <f t="shared" si="17"/>
        <v>0</v>
      </c>
      <c r="E99" s="59">
        <f t="shared" si="17"/>
        <v>0</v>
      </c>
      <c r="F99" s="65">
        <f t="shared" si="17"/>
        <v>0</v>
      </c>
      <c r="G99" s="65">
        <f t="shared" si="17"/>
        <v>0</v>
      </c>
      <c r="H99" s="59">
        <f t="shared" si="17"/>
        <v>0</v>
      </c>
      <c r="I99" s="58">
        <f t="shared" si="17"/>
        <v>1</v>
      </c>
      <c r="J99" s="58">
        <f t="shared" si="17"/>
        <v>0</v>
      </c>
      <c r="K99" s="59">
        <f t="shared" si="17"/>
        <v>0</v>
      </c>
      <c r="L99" s="41">
        <f t="shared" si="17"/>
        <v>1</v>
      </c>
      <c r="M99" s="41">
        <f>SUM(M97:M98)</f>
        <v>0</v>
      </c>
      <c r="N99" s="59">
        <f t="shared" si="17"/>
        <v>0</v>
      </c>
      <c r="O99" s="59">
        <f>SUM(O97:O98)</f>
        <v>0</v>
      </c>
      <c r="P99" s="59">
        <f>SUM(P97:P98)</f>
        <v>0</v>
      </c>
      <c r="Q99" s="59">
        <f>SUM(Q97:Q98)</f>
        <v>0</v>
      </c>
      <c r="R99" s="63">
        <f>O99-N99</f>
        <v>0</v>
      </c>
      <c r="S99" s="64"/>
      <c r="W99" s="63"/>
      <c r="X99" s="64"/>
    </row>
    <row r="100" spans="1:24" x14ac:dyDescent="0.2">
      <c r="A100" s="26"/>
      <c r="B100" s="27"/>
      <c r="C100" s="51"/>
      <c r="D100" s="59"/>
      <c r="E100" s="59"/>
      <c r="F100" s="65"/>
      <c r="G100" s="65"/>
      <c r="H100" s="65"/>
      <c r="I100" s="66"/>
      <c r="J100" s="66"/>
      <c r="K100" s="59"/>
      <c r="L100" s="41"/>
      <c r="M100" s="41"/>
      <c r="N100" s="59"/>
      <c r="O100" s="59"/>
      <c r="P100" s="59"/>
      <c r="Q100" s="59"/>
      <c r="R100" s="58"/>
    </row>
    <row r="101" spans="1:24" x14ac:dyDescent="0.2">
      <c r="A101" s="26"/>
      <c r="B101" s="14" t="s">
        <v>84</v>
      </c>
      <c r="C101" s="51"/>
      <c r="D101" s="59"/>
      <c r="E101" s="59"/>
      <c r="F101" s="65"/>
      <c r="G101" s="65"/>
      <c r="H101" s="65"/>
      <c r="I101" s="66"/>
      <c r="J101" s="66"/>
      <c r="K101" s="59"/>
      <c r="L101" s="41"/>
      <c r="M101" s="41"/>
      <c r="N101" s="59"/>
      <c r="O101" s="59"/>
      <c r="P101" s="59"/>
      <c r="Q101" s="59"/>
      <c r="R101" s="58"/>
    </row>
    <row r="102" spans="1:24" x14ac:dyDescent="0.2">
      <c r="A102" s="26"/>
      <c r="B102" s="27" t="s">
        <v>64</v>
      </c>
      <c r="C102" s="51">
        <v>82331.929999999993</v>
      </c>
      <c r="D102" s="51">
        <v>85491</v>
      </c>
      <c r="E102" s="51">
        <v>55885</v>
      </c>
      <c r="F102" s="51">
        <v>57983.71</v>
      </c>
      <c r="G102" s="51">
        <v>58857.41</v>
      </c>
      <c r="H102" s="51">
        <f>41342.4+24622.49+106.43+250</f>
        <v>66321.319999999992</v>
      </c>
      <c r="I102" s="68">
        <v>42301</v>
      </c>
      <c r="J102" s="68">
        <v>42283</v>
      </c>
      <c r="K102" s="51">
        <f>42240.24+127.71</f>
        <v>42367.95</v>
      </c>
      <c r="L102" s="41">
        <f>[16]Cover!$C$12</f>
        <v>41119.259999999995</v>
      </c>
      <c r="M102" s="41">
        <f>[16]Cover!$C$12</f>
        <v>41119.259999999995</v>
      </c>
      <c r="N102" s="59">
        <f>[16]Cover!$D$12</f>
        <v>46630</v>
      </c>
      <c r="O102" s="59">
        <f>[16]Cover!$E$12</f>
        <v>47079</v>
      </c>
      <c r="P102" s="59">
        <f>[16]Cover!$F$12</f>
        <v>47079</v>
      </c>
      <c r="Q102" s="60">
        <v>0</v>
      </c>
      <c r="R102" s="58"/>
    </row>
    <row r="103" spans="1:24" x14ac:dyDescent="0.2">
      <c r="A103" s="26"/>
      <c r="B103" s="27" t="s">
        <v>67</v>
      </c>
      <c r="C103" s="51">
        <f>4485.62+85983.77</f>
        <v>90469.39</v>
      </c>
      <c r="D103" s="59">
        <v>4500</v>
      </c>
      <c r="E103" s="59">
        <v>109366</v>
      </c>
      <c r="F103" s="65">
        <v>114674.83</v>
      </c>
      <c r="G103" s="65">
        <f>96315.7+7119.95+217.76</f>
        <v>103653.40999999999</v>
      </c>
      <c r="H103" s="65">
        <f>153101.1-H102-H104</f>
        <v>86779.780000000013</v>
      </c>
      <c r="I103" s="66">
        <v>76548</v>
      </c>
      <c r="J103" s="66">
        <v>83593</v>
      </c>
      <c r="K103" s="59">
        <f>78080.1+7430.25+32.28</f>
        <v>85542.63</v>
      </c>
      <c r="L103" s="41">
        <f>[16]Cover!$C$15+[16]Cover!$C$18+[16]Cover!$C$21</f>
        <v>90556.010000000009</v>
      </c>
      <c r="M103" s="41">
        <f>[16]Cover!$C$15+[16]Cover!$C$18+[16]Cover!$C$21</f>
        <v>90556.010000000009</v>
      </c>
      <c r="N103" s="59">
        <f>[16]Cover!$D$15+[16]Cover!$D$18+[16]Cover!$D$21</f>
        <v>88400</v>
      </c>
      <c r="O103" s="59">
        <f>[16]Cover!$E$15+[16]Cover!$E$18+[16]Cover!$E$21</f>
        <v>88400</v>
      </c>
      <c r="P103" s="59">
        <f>[16]Cover!$F$15+[16]Cover!$F$18+[16]Cover!$F$21</f>
        <v>85400</v>
      </c>
      <c r="Q103" s="59">
        <v>0</v>
      </c>
      <c r="R103" s="58"/>
    </row>
    <row r="104" spans="1:24" x14ac:dyDescent="0.2">
      <c r="A104" s="26"/>
      <c r="B104" s="27" t="s">
        <v>68</v>
      </c>
      <c r="C104" s="56"/>
      <c r="D104" s="70">
        <v>91340</v>
      </c>
      <c r="E104" s="70"/>
      <c r="F104" s="71"/>
      <c r="G104" s="71"/>
      <c r="H104" s="71">
        <v>0</v>
      </c>
      <c r="I104" s="72">
        <v>0</v>
      </c>
      <c r="J104" s="72">
        <v>0</v>
      </c>
      <c r="K104" s="70">
        <v>0</v>
      </c>
      <c r="L104" s="73">
        <f>[16]Cover!$C$24</f>
        <v>0</v>
      </c>
      <c r="M104" s="73">
        <f>[16]Cover!$C$24</f>
        <v>0</v>
      </c>
      <c r="N104" s="70">
        <f>[16]Cover!$D$24</f>
        <v>0</v>
      </c>
      <c r="O104" s="70">
        <f>[16]Cover!$E$24</f>
        <v>0</v>
      </c>
      <c r="P104" s="70">
        <f>[16]Cover!$F$24</f>
        <v>0</v>
      </c>
      <c r="Q104" s="71">
        <v>0</v>
      </c>
      <c r="R104" s="58"/>
    </row>
    <row r="105" spans="1:24" x14ac:dyDescent="0.2">
      <c r="A105" s="26">
        <v>16</v>
      </c>
      <c r="B105" s="27" t="s">
        <v>65</v>
      </c>
      <c r="C105" s="51">
        <v>172801.32</v>
      </c>
      <c r="D105" s="59">
        <f t="shared" ref="D105:N105" si="18">SUM(D102:D104)</f>
        <v>181331</v>
      </c>
      <c r="E105" s="60">
        <f t="shared" si="18"/>
        <v>165251</v>
      </c>
      <c r="F105" s="61">
        <f t="shared" si="18"/>
        <v>172658.54</v>
      </c>
      <c r="G105" s="61">
        <f t="shared" si="18"/>
        <v>162510.82</v>
      </c>
      <c r="H105" s="60">
        <f t="shared" si="18"/>
        <v>153101.1</v>
      </c>
      <c r="I105" s="62">
        <f t="shared" si="18"/>
        <v>118849</v>
      </c>
      <c r="J105" s="62">
        <f t="shared" si="18"/>
        <v>125876</v>
      </c>
      <c r="K105" s="60">
        <f t="shared" si="18"/>
        <v>127910.58</v>
      </c>
      <c r="L105" s="41">
        <f t="shared" si="18"/>
        <v>131675.27000000002</v>
      </c>
      <c r="M105" s="41">
        <f>SUM(M102:M104)</f>
        <v>131675.27000000002</v>
      </c>
      <c r="N105" s="60">
        <f t="shared" si="18"/>
        <v>135030</v>
      </c>
      <c r="O105" s="60">
        <f>SUM(O102:O104)</f>
        <v>135479</v>
      </c>
      <c r="P105" s="60">
        <f>SUM(P102:P104)</f>
        <v>132479</v>
      </c>
      <c r="Q105" s="59">
        <f>SUM(Q102:Q104)</f>
        <v>0</v>
      </c>
      <c r="R105" s="63">
        <f>O105-N105</f>
        <v>449</v>
      </c>
      <c r="S105" s="64">
        <f>R105/N105</f>
        <v>3.3251869954824854E-3</v>
      </c>
      <c r="W105" s="63">
        <f>P105-N105</f>
        <v>-2551</v>
      </c>
      <c r="X105" s="64">
        <f>W105/N105</f>
        <v>-1.8892098052284676E-2</v>
      </c>
    </row>
    <row r="106" spans="1:24" x14ac:dyDescent="0.2">
      <c r="A106" s="26"/>
      <c r="B106" s="27"/>
      <c r="C106" s="51"/>
      <c r="D106" s="59"/>
      <c r="E106" s="59"/>
      <c r="F106" s="61"/>
      <c r="G106" s="61"/>
      <c r="H106" s="61"/>
      <c r="I106" s="81"/>
      <c r="J106" s="81"/>
      <c r="K106" s="59"/>
      <c r="L106" s="41"/>
      <c r="M106" s="41"/>
      <c r="N106" s="59"/>
      <c r="O106" s="59"/>
      <c r="P106" s="59"/>
      <c r="Q106" s="59"/>
      <c r="R106" s="58"/>
    </row>
    <row r="107" spans="1:24" x14ac:dyDescent="0.2">
      <c r="A107" s="26"/>
      <c r="B107" s="14" t="s">
        <v>85</v>
      </c>
      <c r="C107" s="51"/>
      <c r="D107" s="59"/>
      <c r="E107" s="59"/>
      <c r="F107" s="65"/>
      <c r="G107" s="65"/>
      <c r="H107" s="65"/>
      <c r="I107" s="66"/>
      <c r="J107" s="66"/>
      <c r="K107" s="59"/>
      <c r="L107" s="41"/>
      <c r="M107" s="41"/>
      <c r="N107" s="59"/>
      <c r="O107" s="59"/>
      <c r="P107" s="59"/>
      <c r="Q107" s="59"/>
      <c r="R107" s="58"/>
    </row>
    <row r="108" spans="1:24" x14ac:dyDescent="0.2">
      <c r="A108" s="26"/>
      <c r="B108" s="27" t="s">
        <v>67</v>
      </c>
      <c r="C108" s="51">
        <v>2345.4</v>
      </c>
      <c r="D108" s="59">
        <v>0</v>
      </c>
      <c r="E108" s="51">
        <v>2845</v>
      </c>
      <c r="F108" s="77">
        <v>1784.3</v>
      </c>
      <c r="G108" s="77">
        <v>2360.87</v>
      </c>
      <c r="H108" s="77">
        <v>2191.13</v>
      </c>
      <c r="I108" s="78">
        <v>2439</v>
      </c>
      <c r="J108" s="78">
        <v>2130</v>
      </c>
      <c r="K108" s="51">
        <v>1983.11</v>
      </c>
      <c r="L108" s="83">
        <f>[17]Cover!$C$15+[17]Cover!$C$18+[17]Cover!$C$21+[17]Cover!$C$24+[17]Cover!$C$30</f>
        <v>2317.21</v>
      </c>
      <c r="M108" s="83">
        <f>[17]Cover!$C$15+[17]Cover!$C$18+[17]Cover!$C$21+[17]Cover!$C$24+[17]Cover!$C$30</f>
        <v>2317.21</v>
      </c>
      <c r="N108" s="51">
        <f>[17]Cover!$D$15+[17]Cover!$D$18+[17]Cover!$D$21+[17]Cover!$D$24+[17]Cover!$D$30</f>
        <v>2600</v>
      </c>
      <c r="O108" s="51">
        <f>[17]Cover!$E$15+[17]Cover!$E$18+[17]Cover!$E$21+[17]Cover!$E$30</f>
        <v>2700</v>
      </c>
      <c r="P108" s="51">
        <f>[17]Cover!$F$15+[17]Cover!$F$18+[17]Cover!$F$21+[17]Cover!$F$24+[17]Cover!$F$30</f>
        <v>2700</v>
      </c>
      <c r="Q108" s="51">
        <v>0</v>
      </c>
      <c r="R108" s="68"/>
    </row>
    <row r="109" spans="1:24" x14ac:dyDescent="0.2">
      <c r="A109" s="26"/>
      <c r="B109" s="27" t="s">
        <v>68</v>
      </c>
      <c r="C109" s="56"/>
      <c r="D109" s="70">
        <v>3500</v>
      </c>
      <c r="E109" s="70"/>
      <c r="F109" s="71"/>
      <c r="G109" s="71"/>
      <c r="H109" s="71">
        <v>0</v>
      </c>
      <c r="I109" s="72">
        <v>0</v>
      </c>
      <c r="J109" s="72">
        <v>0</v>
      </c>
      <c r="K109" s="70">
        <v>0</v>
      </c>
      <c r="L109" s="73">
        <f>[17]Cover!$C$27</f>
        <v>0</v>
      </c>
      <c r="M109" s="73">
        <f>[17]Cover!$C$27</f>
        <v>0</v>
      </c>
      <c r="N109" s="70">
        <f>[17]Cover!$D$27</f>
        <v>0</v>
      </c>
      <c r="O109" s="70">
        <f>[17]Cover!$E$27</f>
        <v>0</v>
      </c>
      <c r="P109" s="70">
        <f>[17]Cover!$F$27</f>
        <v>0</v>
      </c>
      <c r="Q109" s="71">
        <v>0</v>
      </c>
      <c r="R109" s="58"/>
    </row>
    <row r="110" spans="1:24" x14ac:dyDescent="0.2">
      <c r="A110" s="26">
        <v>17</v>
      </c>
      <c r="B110" s="27" t="s">
        <v>65</v>
      </c>
      <c r="C110" s="51">
        <v>2345.4</v>
      </c>
      <c r="D110" s="59">
        <f t="shared" ref="D110:N110" si="19">SUM(D108:D109)</f>
        <v>3500</v>
      </c>
      <c r="E110" s="59">
        <f t="shared" si="19"/>
        <v>2845</v>
      </c>
      <c r="F110" s="65">
        <f t="shared" si="19"/>
        <v>1784.3</v>
      </c>
      <c r="G110" s="65">
        <f t="shared" si="19"/>
        <v>2360.87</v>
      </c>
      <c r="H110" s="59">
        <f t="shared" si="19"/>
        <v>2191.13</v>
      </c>
      <c r="I110" s="58">
        <f t="shared" si="19"/>
        <v>2439</v>
      </c>
      <c r="J110" s="58">
        <f t="shared" si="19"/>
        <v>2130</v>
      </c>
      <c r="K110" s="59">
        <f t="shared" si="19"/>
        <v>1983.11</v>
      </c>
      <c r="L110" s="41">
        <f t="shared" si="19"/>
        <v>2317.21</v>
      </c>
      <c r="M110" s="41">
        <f>SUM(M108:M109)</f>
        <v>2317.21</v>
      </c>
      <c r="N110" s="59">
        <f t="shared" si="19"/>
        <v>2600</v>
      </c>
      <c r="O110" s="59">
        <f>SUM(O108:O109)</f>
        <v>2700</v>
      </c>
      <c r="P110" s="59">
        <f>SUM(P108:P109)</f>
        <v>2700</v>
      </c>
      <c r="Q110" s="59">
        <f>SUM(Q108:Q109)</f>
        <v>0</v>
      </c>
      <c r="R110" s="63">
        <f>O110-N110</f>
        <v>100</v>
      </c>
      <c r="S110" s="64">
        <f>R110/N110</f>
        <v>3.8461538461538464E-2</v>
      </c>
      <c r="W110" s="63">
        <f>P110-N110</f>
        <v>100</v>
      </c>
      <c r="X110" s="64">
        <f>W110/N110</f>
        <v>3.8461538461538464E-2</v>
      </c>
    </row>
    <row r="111" spans="1:24" x14ac:dyDescent="0.2">
      <c r="A111" s="26"/>
      <c r="B111" s="27"/>
      <c r="C111" s="51"/>
      <c r="D111" s="59"/>
      <c r="E111" s="59"/>
      <c r="F111" s="65"/>
      <c r="G111" s="65"/>
      <c r="H111" s="65"/>
      <c r="I111" s="66"/>
      <c r="J111" s="66"/>
      <c r="K111" s="59"/>
      <c r="L111" s="41"/>
      <c r="M111" s="41"/>
      <c r="N111" s="59"/>
      <c r="O111" s="59"/>
      <c r="P111" s="59"/>
      <c r="Q111" s="59"/>
      <c r="R111" s="58"/>
    </row>
    <row r="112" spans="1:24" x14ac:dyDescent="0.2">
      <c r="A112" s="25"/>
      <c r="B112" s="14" t="s">
        <v>86</v>
      </c>
      <c r="C112" s="85">
        <f>SUM(C110,C105,C99,C94,C88,C82,C76,C64,C58,C70,C53,C49,C43,C37,C33,C27,C23,C18,C12,C6,)</f>
        <v>1036209.8800000001</v>
      </c>
      <c r="D112" s="85" t="e">
        <f>SUM(D110,D105,D99,D94,D88,D82,D76,D64,D58,D70,D53,D49,D43,D37,D33,D27,D23,D18,D12,D6,)</f>
        <v>#REF!</v>
      </c>
      <c r="E112" s="85" t="e">
        <f>SUM(E110,E105,E99,E94,E88,E82,E76,E64,E58,E70,E53,E49,E43,E37,E33,E27,E23,E18,E12,E6,)</f>
        <v>#REF!</v>
      </c>
      <c r="F112" s="86" t="e">
        <f t="shared" ref="F112:Q112" si="20">SUM(F110,F105,F99,F94,F88,F82,F76,F70,F64,F58,F53,F49,F43,F37,F33,F27,F23,F18,F12,F6)</f>
        <v>#REF!</v>
      </c>
      <c r="G112" s="86" t="e">
        <f t="shared" si="20"/>
        <v>#REF!</v>
      </c>
      <c r="H112" s="85">
        <f t="shared" si="20"/>
        <v>1346012.9399999997</v>
      </c>
      <c r="I112" s="63">
        <f t="shared" si="20"/>
        <v>1411905</v>
      </c>
      <c r="J112" s="63">
        <f t="shared" si="20"/>
        <v>1319887</v>
      </c>
      <c r="K112" s="85">
        <f t="shared" si="20"/>
        <v>1411736.3940000001</v>
      </c>
      <c r="L112" s="87" t="e">
        <f t="shared" si="20"/>
        <v>#REF!</v>
      </c>
      <c r="M112" s="87">
        <f>SUM(M110,M105,M99,M94,M88,M82,M76,M70,M64,M58,M53,M49,M43,M37,M33,M27,M23,M18,M12,M6)</f>
        <v>1448665.6500000001</v>
      </c>
      <c r="N112" s="85">
        <f t="shared" si="20"/>
        <v>1511255</v>
      </c>
      <c r="O112" s="85">
        <f t="shared" si="20"/>
        <v>1565628.28</v>
      </c>
      <c r="P112" s="85">
        <f>SUM(P110,P105,P99,P94,P88,P82,P76,P70,P64,P58,P53,P49,P43,P37,P33,P27,P23,P18,P12,P6)</f>
        <v>1518391</v>
      </c>
      <c r="Q112" s="85">
        <f t="shared" si="20"/>
        <v>0</v>
      </c>
      <c r="R112" s="63">
        <f>O112-N112</f>
        <v>54373.280000000028</v>
      </c>
      <c r="S112" s="64">
        <f>R112/N112</f>
        <v>3.5978891715825606E-2</v>
      </c>
      <c r="V112" s="20" t="b">
        <f>R112=SUM(R6+R12+R18+R23+R27+R33+R37+R43+R49+R53+R58+R64+R70+R76+R82+R88+R94+R99+R105+R110)</f>
        <v>1</v>
      </c>
      <c r="W112" s="63">
        <f>P112-N112</f>
        <v>7136</v>
      </c>
      <c r="X112" s="64">
        <f>W112/N112</f>
        <v>4.7219033187648673E-3</v>
      </c>
    </row>
    <row r="113" spans="1:24" x14ac:dyDescent="0.2">
      <c r="A113" s="26"/>
      <c r="B113" s="27"/>
      <c r="C113" s="88"/>
      <c r="D113" s="85"/>
      <c r="E113" s="59"/>
      <c r="K113" s="59"/>
      <c r="L113" s="41"/>
      <c r="M113" s="41"/>
      <c r="N113" s="41"/>
      <c r="O113" s="41"/>
      <c r="P113" s="41"/>
      <c r="Q113" s="41"/>
      <c r="R113" s="69"/>
      <c r="S113" s="89"/>
    </row>
    <row r="114" spans="1:24" x14ac:dyDescent="0.2">
      <c r="A114" s="26"/>
      <c r="B114" s="14" t="s">
        <v>87</v>
      </c>
      <c r="C114" s="88"/>
      <c r="D114" s="85" t="s">
        <v>38</v>
      </c>
      <c r="E114" s="59" t="s">
        <v>38</v>
      </c>
      <c r="F114" s="65"/>
      <c r="G114" s="65"/>
      <c r="H114" s="65"/>
      <c r="I114" s="66"/>
      <c r="J114" s="66"/>
      <c r="K114" s="59"/>
      <c r="L114" s="41"/>
      <c r="M114" s="41"/>
      <c r="N114" s="59"/>
      <c r="O114" s="59"/>
      <c r="P114" s="59"/>
      <c r="Q114" s="59"/>
      <c r="R114" s="58"/>
    </row>
    <row r="115" spans="1:24" x14ac:dyDescent="0.2">
      <c r="A115" s="26"/>
      <c r="B115" s="14"/>
      <c r="C115" s="51"/>
      <c r="D115" s="59"/>
      <c r="E115" s="59"/>
      <c r="F115" s="65"/>
      <c r="G115" s="65"/>
      <c r="H115" s="65"/>
      <c r="I115" s="66"/>
      <c r="J115" s="66"/>
      <c r="K115" s="59"/>
      <c r="L115" s="41"/>
      <c r="M115" s="41"/>
      <c r="N115" s="59"/>
      <c r="O115" s="59"/>
      <c r="P115" s="59"/>
      <c r="Q115" s="59"/>
      <c r="R115" s="58"/>
    </row>
    <row r="116" spans="1:24" x14ac:dyDescent="0.2">
      <c r="A116" s="26"/>
      <c r="B116" s="14" t="s">
        <v>88</v>
      </c>
      <c r="C116" s="51"/>
      <c r="D116" s="59"/>
      <c r="E116" s="59"/>
      <c r="F116" s="65"/>
      <c r="G116" s="65"/>
      <c r="H116" s="65"/>
      <c r="I116" s="66"/>
      <c r="J116" s="66"/>
      <c r="K116" s="59"/>
      <c r="L116" s="41"/>
      <c r="M116" s="41"/>
      <c r="N116" s="59"/>
      <c r="O116" s="59"/>
      <c r="P116" s="59"/>
      <c r="Q116" s="59"/>
      <c r="R116" s="58"/>
    </row>
    <row r="117" spans="1:24" x14ac:dyDescent="0.2">
      <c r="A117" s="26"/>
      <c r="B117" s="27" t="s">
        <v>64</v>
      </c>
      <c r="C117" s="51">
        <v>1400405</v>
      </c>
      <c r="D117" s="51">
        <v>1501939</v>
      </c>
      <c r="E117" s="51">
        <v>1554211</v>
      </c>
      <c r="F117" s="51">
        <v>1651384.81</v>
      </c>
      <c r="G117" s="51">
        <v>1745139.65</v>
      </c>
      <c r="H117" s="51">
        <f>110000+41857.14+1231055.94+194024.15+10919.49+101830.52+26200+32973.79+17260-1</f>
        <v>1766120.03</v>
      </c>
      <c r="I117" s="68">
        <v>1752077</v>
      </c>
      <c r="J117" s="68">
        <v>1748995</v>
      </c>
      <c r="K117" s="51">
        <f>167654.59+43000+1198453.98+154960.14+6683.16+205887.71+1087.31+35816.76+14800</f>
        <v>1828343.65</v>
      </c>
      <c r="L117" s="41">
        <f>[18]Cover!$B$12</f>
        <v>2020278.76</v>
      </c>
      <c r="M117" s="41">
        <f>[18]Cover!$B$12</f>
        <v>2020278.76</v>
      </c>
      <c r="N117" s="51">
        <f>[18]Cover!$C$12</f>
        <v>2134063</v>
      </c>
      <c r="O117" s="51">
        <f>[18]Cover!$D$12</f>
        <v>2343966</v>
      </c>
      <c r="P117" s="51">
        <f>[18]Cover!$E$12</f>
        <v>2237193</v>
      </c>
      <c r="Q117" s="51">
        <v>0</v>
      </c>
      <c r="R117" s="68"/>
    </row>
    <row r="118" spans="1:24" x14ac:dyDescent="0.2">
      <c r="A118" s="26"/>
      <c r="B118" s="27" t="s">
        <v>67</v>
      </c>
      <c r="C118" s="51">
        <f>3699.15+956.77+186.8+132010.22</f>
        <v>136852.94</v>
      </c>
      <c r="D118" s="59">
        <v>3800</v>
      </c>
      <c r="E118" s="59">
        <v>148544</v>
      </c>
      <c r="F118" s="65">
        <v>58590.33</v>
      </c>
      <c r="G118" s="65">
        <f>30723.2+268+35262.8+60+1762.83+305+4722.89</f>
        <v>73104.72</v>
      </c>
      <c r="H118" s="65">
        <f>1883193.94-H117-H119</f>
        <v>64955.209999999919</v>
      </c>
      <c r="I118" s="66">
        <v>62023</v>
      </c>
      <c r="J118" s="66">
        <v>50219</v>
      </c>
      <c r="K118" s="59">
        <f>21410.28+30903.51+183.46+1182.54+1550+3824.56</f>
        <v>59054.349999999991</v>
      </c>
      <c r="L118" s="41">
        <f>[18]Cover!$B$15+[18]Cover!$B$18+[18]Cover!$B$21+[18]Cover!$B$24+[18]Cover!$B$30</f>
        <v>103414.84999999999</v>
      </c>
      <c r="M118" s="41">
        <f>[18]Cover!$B$15+[18]Cover!$B$18+[18]Cover!$B$21+[18]Cover!$B$24+[18]Cover!$B$30</f>
        <v>103414.84999999999</v>
      </c>
      <c r="N118" s="59">
        <f>[18]Cover!$C$15+[18]Cover!$C$18+[18]Cover!$C$21+[18]Cover!$C$24+[18]Cover!$C$30</f>
        <v>82085</v>
      </c>
      <c r="O118" s="59">
        <f>[18]Cover!$D$15+[18]Cover!$D$18+[18]Cover!$D$21+[18]Cover!$D$24+[18]Cover!$D$30</f>
        <v>105631</v>
      </c>
      <c r="P118" s="59">
        <f>[18]Cover!$E$15+[18]Cover!$E$18+[18]Cover!$E$21+[18]Cover!$E$24+[18]Cover!$E$30</f>
        <v>86285</v>
      </c>
      <c r="Q118" s="59">
        <v>0</v>
      </c>
      <c r="R118" s="58"/>
    </row>
    <row r="119" spans="1:24" x14ac:dyDescent="0.2">
      <c r="A119" s="26"/>
      <c r="B119" s="27" t="s">
        <v>68</v>
      </c>
      <c r="C119" s="56"/>
      <c r="D119" s="70">
        <v>83251</v>
      </c>
      <c r="E119" s="70"/>
      <c r="F119" s="71">
        <v>58796.31</v>
      </c>
      <c r="G119" s="71">
        <v>77364.44</v>
      </c>
      <c r="H119" s="71">
        <v>52118.7</v>
      </c>
      <c r="I119" s="72">
        <v>59014</v>
      </c>
      <c r="J119" s="72">
        <v>30025</v>
      </c>
      <c r="K119" s="70">
        <v>64375.27</v>
      </c>
      <c r="L119" s="73">
        <f>[18]Cover!$B$27</f>
        <v>59938.8</v>
      </c>
      <c r="M119" s="73">
        <f>[18]Cover!$B$27</f>
        <v>59938.8</v>
      </c>
      <c r="N119" s="70">
        <f>[18]Cover!$C$27</f>
        <v>40251</v>
      </c>
      <c r="O119" s="70">
        <f>[18]Cover!$D$27</f>
        <v>144421</v>
      </c>
      <c r="P119" s="70">
        <f>[18]Cover!$E$27</f>
        <v>39776</v>
      </c>
      <c r="Q119" s="71">
        <v>0</v>
      </c>
      <c r="R119" s="58"/>
    </row>
    <row r="120" spans="1:24" x14ac:dyDescent="0.2">
      <c r="A120" s="26">
        <v>18</v>
      </c>
      <c r="B120" s="27" t="s">
        <v>65</v>
      </c>
      <c r="C120" s="51">
        <v>1537257.94</v>
      </c>
      <c r="D120" s="59">
        <f t="shared" ref="D120:N120" si="21">SUM(D117:D119)</f>
        <v>1588990</v>
      </c>
      <c r="E120" s="59">
        <f t="shared" si="21"/>
        <v>1702755</v>
      </c>
      <c r="F120" s="65">
        <f t="shared" si="21"/>
        <v>1768771.4500000002</v>
      </c>
      <c r="G120" s="65">
        <f t="shared" si="21"/>
        <v>1895608.8099999998</v>
      </c>
      <c r="H120" s="59">
        <f t="shared" si="21"/>
        <v>1883193.94</v>
      </c>
      <c r="I120" s="58">
        <f t="shared" si="21"/>
        <v>1873114</v>
      </c>
      <c r="J120" s="58">
        <f t="shared" si="21"/>
        <v>1829239</v>
      </c>
      <c r="K120" s="59">
        <f t="shared" si="21"/>
        <v>1951773.27</v>
      </c>
      <c r="L120" s="41">
        <f t="shared" si="21"/>
        <v>2183632.4099999997</v>
      </c>
      <c r="M120" s="41">
        <f>SUM(M117:M119)</f>
        <v>2183632.4099999997</v>
      </c>
      <c r="N120" s="59">
        <f t="shared" si="21"/>
        <v>2256399</v>
      </c>
      <c r="O120" s="59">
        <f>SUM(O117:O119)</f>
        <v>2594018</v>
      </c>
      <c r="P120" s="59">
        <f>SUM(P117:P119)</f>
        <v>2363254</v>
      </c>
      <c r="Q120" s="59">
        <f>SUM(Q117:Q119)</f>
        <v>0</v>
      </c>
      <c r="R120" s="63">
        <f>O120-N120</f>
        <v>337619</v>
      </c>
      <c r="S120" s="64">
        <f>R120/N120</f>
        <v>0.14962734870916003</v>
      </c>
      <c r="W120" s="63">
        <f>P120-N120</f>
        <v>106855</v>
      </c>
      <c r="X120" s="64">
        <f>W120/N120</f>
        <v>4.7356429425824069E-2</v>
      </c>
    </row>
    <row r="121" spans="1:24" x14ac:dyDescent="0.2">
      <c r="A121" s="26"/>
      <c r="B121" s="27"/>
      <c r="C121" s="51"/>
      <c r="D121" s="59"/>
      <c r="E121" s="59"/>
      <c r="F121" s="65"/>
      <c r="G121" s="65"/>
      <c r="H121" s="65"/>
      <c r="I121" s="66"/>
      <c r="J121" s="66"/>
      <c r="K121" s="59"/>
      <c r="L121" s="41"/>
      <c r="M121" s="41"/>
      <c r="N121" s="41"/>
      <c r="O121" s="41"/>
      <c r="P121" s="41"/>
      <c r="Q121" s="41"/>
      <c r="R121" s="69"/>
    </row>
    <row r="122" spans="1:24" x14ac:dyDescent="0.2">
      <c r="A122" s="26"/>
      <c r="B122" s="14" t="s">
        <v>89</v>
      </c>
      <c r="C122" s="51"/>
      <c r="D122" s="59"/>
      <c r="E122" s="59"/>
      <c r="F122" s="65"/>
      <c r="G122" s="65"/>
      <c r="H122" s="65"/>
      <c r="I122" s="66"/>
      <c r="J122" s="66"/>
      <c r="K122" s="59"/>
      <c r="L122" s="41"/>
      <c r="M122" s="41"/>
      <c r="N122" s="59"/>
      <c r="O122" s="59"/>
      <c r="P122" s="59"/>
      <c r="Q122" s="59"/>
      <c r="R122" s="58"/>
    </row>
    <row r="123" spans="1:24" x14ac:dyDescent="0.2">
      <c r="A123" s="26"/>
      <c r="B123" s="27" t="s">
        <v>64</v>
      </c>
      <c r="C123" s="51">
        <v>193699.83</v>
      </c>
      <c r="D123" s="51">
        <v>270843</v>
      </c>
      <c r="E123" s="51">
        <v>327596</v>
      </c>
      <c r="F123" s="51">
        <v>281052.83999999997</v>
      </c>
      <c r="G123" s="51">
        <v>293164.5</v>
      </c>
      <c r="H123" s="51">
        <f>52622+35188.02+200190.06+5790+2022.34+400+5885</f>
        <v>302097.42</v>
      </c>
      <c r="I123" s="68">
        <v>298479</v>
      </c>
      <c r="J123" s="68">
        <v>307057</v>
      </c>
      <c r="K123" s="51">
        <f>52179+35955.36+216172.56+5490+1490.76+400+6314.5</f>
        <v>318002.18</v>
      </c>
      <c r="L123" s="41">
        <f>[19]Cover!$B$12</f>
        <v>327946.84999999998</v>
      </c>
      <c r="M123" s="41">
        <f>[19]Cover!$B$12</f>
        <v>327946.84999999998</v>
      </c>
      <c r="N123" s="59">
        <f>[19]Cover!$C$12</f>
        <v>345729</v>
      </c>
      <c r="O123" s="59">
        <f>[19]Cover!$D$12</f>
        <v>355808</v>
      </c>
      <c r="P123" s="59">
        <f>[19]Cover!$E$12</f>
        <v>349089</v>
      </c>
      <c r="Q123" s="59">
        <v>0</v>
      </c>
      <c r="R123" s="58"/>
    </row>
    <row r="124" spans="1:24" x14ac:dyDescent="0.2">
      <c r="A124" s="26"/>
      <c r="B124" s="27" t="s">
        <v>67</v>
      </c>
      <c r="C124" s="51">
        <f>43315.08+2000+30173.38+691</f>
        <v>76179.460000000006</v>
      </c>
      <c r="D124" s="59">
        <v>0</v>
      </c>
      <c r="E124" s="59">
        <v>106809</v>
      </c>
      <c r="F124" s="65">
        <v>79132.460000000006</v>
      </c>
      <c r="G124" s="65">
        <f>53640.89+51.99+27717.82+335.14+3000+7751.76+2040+1842.45</f>
        <v>96380.049999999988</v>
      </c>
      <c r="H124" s="65">
        <f>398186.8-H123-H125</f>
        <v>91114.82</v>
      </c>
      <c r="I124" s="66">
        <v>94838</v>
      </c>
      <c r="J124" s="66">
        <v>99014</v>
      </c>
      <c r="K124" s="59">
        <f>27902.73+358.5+54200+2834.68+12590.66</f>
        <v>97886.569999999992</v>
      </c>
      <c r="L124" s="41">
        <f>[19]Cover!$B$15+[19]Cover!$B$18+[19]Cover!$B$21+[19]Cover!$B$24+[19]Cover!$B$30</f>
        <v>96268.7</v>
      </c>
      <c r="M124" s="41">
        <f>[19]Cover!$B$15+[19]Cover!$B$18+[19]Cover!$B$21+[19]Cover!$B$24+[19]Cover!$B$30</f>
        <v>96268.7</v>
      </c>
      <c r="N124" s="59">
        <f>[19]Cover!$C$15+[19]Cover!$C$18+[19]Cover!$C$21+[19]Cover!$C$24+[19]Cover!$C$30</f>
        <v>134450</v>
      </c>
      <c r="O124" s="59">
        <f>[19]Cover!$D$15+[19]Cover!$D$18+[19]Cover!$D$21+[19]Cover!$D$24+[19]Cover!$D$30</f>
        <v>134450</v>
      </c>
      <c r="P124" s="59">
        <f>[19]Cover!$E$15+[19]Cover!$E$18+[19]Cover!$E$21+[19]Cover!$E$24+[19]Cover!$E$30</f>
        <v>121450</v>
      </c>
      <c r="Q124" s="59">
        <v>0</v>
      </c>
      <c r="R124" s="58"/>
    </row>
    <row r="125" spans="1:24" x14ac:dyDescent="0.2">
      <c r="A125" s="26"/>
      <c r="B125" s="27" t="s">
        <v>68</v>
      </c>
      <c r="C125" s="90"/>
      <c r="D125" s="59">
        <v>78550</v>
      </c>
      <c r="E125" s="59"/>
      <c r="F125" s="65">
        <v>20658.939999999999</v>
      </c>
      <c r="G125" s="65">
        <v>14625</v>
      </c>
      <c r="H125" s="65">
        <v>4974.5600000000004</v>
      </c>
      <c r="I125" s="66">
        <v>18958</v>
      </c>
      <c r="J125" s="66">
        <v>27203</v>
      </c>
      <c r="K125" s="59">
        <f>48635.01+620</f>
        <v>49255.01</v>
      </c>
      <c r="L125" s="41">
        <f>[19]Cover!$B$27</f>
        <v>18000</v>
      </c>
      <c r="M125" s="41">
        <f>[19]Cover!$B$27</f>
        <v>18000</v>
      </c>
      <c r="N125" s="59">
        <f>[19]Cover!$C$27</f>
        <v>17000</v>
      </c>
      <c r="O125" s="59">
        <f>[19]Cover!$D$27</f>
        <v>118000</v>
      </c>
      <c r="P125" s="59">
        <f>[19]Cover!$E$27</f>
        <v>21500</v>
      </c>
      <c r="Q125" s="59">
        <v>0</v>
      </c>
      <c r="R125" s="58"/>
    </row>
    <row r="126" spans="1:24" x14ac:dyDescent="0.2">
      <c r="A126" s="26"/>
      <c r="B126" s="27" t="s">
        <v>90</v>
      </c>
      <c r="C126" s="56">
        <v>133755.89000000001</v>
      </c>
      <c r="D126" s="70">
        <v>146464</v>
      </c>
      <c r="E126" s="56">
        <v>158226</v>
      </c>
      <c r="F126" s="71">
        <v>134550</v>
      </c>
      <c r="G126" s="71">
        <v>147545.5</v>
      </c>
      <c r="H126" s="71">
        <v>126502.56</v>
      </c>
      <c r="I126" s="72">
        <v>170590</v>
      </c>
      <c r="J126" s="72">
        <v>170393</v>
      </c>
      <c r="K126" s="70">
        <f>155587.23+15817.21</f>
        <v>171404.44</v>
      </c>
      <c r="L126" s="73" t="e">
        <f>#REF!</f>
        <v>#REF!</v>
      </c>
      <c r="M126" s="73">
        <f>[20]Cover!$B$15</f>
        <v>191348.49</v>
      </c>
      <c r="N126" s="70">
        <f>[20]Cover!$C$15</f>
        <v>192000</v>
      </c>
      <c r="O126" s="70">
        <f>[20]Cover!$D$15</f>
        <v>192000</v>
      </c>
      <c r="P126" s="70">
        <f>[20]Cover!$E$15</f>
        <v>189000</v>
      </c>
      <c r="Q126" s="71">
        <v>0</v>
      </c>
      <c r="R126" s="58"/>
    </row>
    <row r="127" spans="1:24" x14ac:dyDescent="0.2">
      <c r="A127" s="26">
        <v>19</v>
      </c>
      <c r="B127" s="27" t="s">
        <v>65</v>
      </c>
      <c r="C127" s="51">
        <f t="shared" ref="C127:N127" si="22">SUM(C123:C126)</f>
        <v>403635.18</v>
      </c>
      <c r="D127" s="59">
        <f t="shared" si="22"/>
        <v>495857</v>
      </c>
      <c r="E127" s="60">
        <f t="shared" si="22"/>
        <v>592631</v>
      </c>
      <c r="F127" s="61">
        <f t="shared" si="22"/>
        <v>515394.24</v>
      </c>
      <c r="G127" s="61">
        <f t="shared" si="22"/>
        <v>551715.05000000005</v>
      </c>
      <c r="H127" s="60">
        <f t="shared" si="22"/>
        <v>524689.36</v>
      </c>
      <c r="I127" s="62">
        <f t="shared" si="22"/>
        <v>582865</v>
      </c>
      <c r="J127" s="62">
        <f t="shared" si="22"/>
        <v>603667</v>
      </c>
      <c r="K127" s="60">
        <f t="shared" si="22"/>
        <v>636548.19999999995</v>
      </c>
      <c r="L127" s="41" t="e">
        <f t="shared" si="22"/>
        <v>#REF!</v>
      </c>
      <c r="M127" s="41">
        <f>SUM(M123:M126)</f>
        <v>633564.04</v>
      </c>
      <c r="N127" s="60">
        <f t="shared" si="22"/>
        <v>689179</v>
      </c>
      <c r="O127" s="60">
        <f>SUM(O123:O126)</f>
        <v>800258</v>
      </c>
      <c r="P127" s="60">
        <f>SUM(P123:P126)</f>
        <v>681039</v>
      </c>
      <c r="Q127" s="60">
        <f>SUM(Q123:Q126)</f>
        <v>0</v>
      </c>
      <c r="R127" s="63">
        <f>O127-N127</f>
        <v>111079</v>
      </c>
      <c r="S127" s="64">
        <f>R127/N127</f>
        <v>0.16117583385448483</v>
      </c>
      <c r="W127" s="63">
        <f>P127-N127</f>
        <v>-8140</v>
      </c>
      <c r="X127" s="64">
        <f>W127/N127</f>
        <v>-1.181115501197802E-2</v>
      </c>
    </row>
    <row r="128" spans="1:24" x14ac:dyDescent="0.2">
      <c r="A128" s="26"/>
      <c r="B128" s="27"/>
      <c r="C128" s="51"/>
      <c r="D128" s="59"/>
      <c r="E128" s="59"/>
      <c r="F128" s="65"/>
      <c r="G128" s="65"/>
      <c r="H128" s="65"/>
      <c r="I128" s="66"/>
      <c r="J128" s="66"/>
      <c r="K128" s="59"/>
      <c r="L128" s="41"/>
      <c r="M128" s="41"/>
      <c r="N128" s="59"/>
      <c r="O128" s="59"/>
      <c r="P128" s="59"/>
      <c r="Q128" s="59"/>
      <c r="R128" s="58"/>
    </row>
    <row r="129" spans="1:24" x14ac:dyDescent="0.2">
      <c r="A129" s="26"/>
      <c r="B129" s="14" t="s">
        <v>91</v>
      </c>
      <c r="C129" s="51"/>
      <c r="D129" s="59"/>
      <c r="E129" s="59"/>
      <c r="F129" s="65"/>
      <c r="G129" s="65"/>
      <c r="H129" s="65"/>
      <c r="I129" s="66"/>
      <c r="J129" s="66"/>
      <c r="L129" s="91"/>
      <c r="M129" s="91"/>
    </row>
    <row r="130" spans="1:24" x14ac:dyDescent="0.2">
      <c r="A130" s="26"/>
      <c r="B130" s="27" t="s">
        <v>67</v>
      </c>
      <c r="C130" s="51">
        <v>0</v>
      </c>
      <c r="D130" s="59">
        <v>82500</v>
      </c>
      <c r="E130" s="51">
        <v>96250</v>
      </c>
      <c r="F130" s="65">
        <v>73500</v>
      </c>
      <c r="G130" s="65">
        <v>74970</v>
      </c>
      <c r="H130" s="65">
        <v>76470</v>
      </c>
      <c r="I130" s="66">
        <v>76470</v>
      </c>
      <c r="J130" s="66">
        <v>76470</v>
      </c>
      <c r="K130" s="59">
        <v>70000</v>
      </c>
      <c r="L130" s="41">
        <f>[21]Cover!$B$15+[21]Cover!$B$18+[21]Cover!$B$21+[21]Cover!$B$24+[21]Cover!$B$30</f>
        <v>77828</v>
      </c>
      <c r="M130" s="41">
        <f>[21]Cover!$B$15+[21]Cover!$B$18+[21]Cover!$B$21+[21]Cover!$B$24+[21]Cover!$B$30</f>
        <v>77828</v>
      </c>
      <c r="N130" s="59">
        <f>[21]Cover!$C$15+[21]Cover!$C$18+[21]Cover!$C$21+[21]Cover!$C$24+[21]Cover!$C$30</f>
        <v>60000</v>
      </c>
      <c r="O130" s="59">
        <f>[21]Cover!$D$15+[21]Cover!$D$18+[21]Cover!$D$21+[21]Cover!$D$24+[21]Cover!$D$30</f>
        <v>60000</v>
      </c>
      <c r="P130" s="59">
        <f>[21]Cover!$E$15+[21]Cover!$E$18+[21]Cover!$E$21+[21]Cover!$E$24+[21]Cover!$E$30</f>
        <v>60000</v>
      </c>
      <c r="Q130" s="59">
        <v>0</v>
      </c>
      <c r="R130" s="58"/>
    </row>
    <row r="131" spans="1:24" x14ac:dyDescent="0.2">
      <c r="A131" s="26"/>
      <c r="B131" s="27" t="s">
        <v>68</v>
      </c>
      <c r="C131" s="56">
        <v>0</v>
      </c>
      <c r="D131" s="70">
        <v>0</v>
      </c>
      <c r="E131" s="70">
        <v>0</v>
      </c>
      <c r="F131" s="71">
        <v>0</v>
      </c>
      <c r="G131" s="71">
        <v>0</v>
      </c>
      <c r="H131" s="71">
        <v>0</v>
      </c>
      <c r="I131" s="72">
        <v>0</v>
      </c>
      <c r="J131" s="72">
        <v>0</v>
      </c>
      <c r="K131" s="70">
        <v>0</v>
      </c>
      <c r="L131" s="73">
        <f>[21]Cover!$B$27</f>
        <v>0</v>
      </c>
      <c r="M131" s="73">
        <f>[21]Cover!$B$27</f>
        <v>0</v>
      </c>
      <c r="N131" s="70">
        <f>[21]Cover!$C$27</f>
        <v>0</v>
      </c>
      <c r="O131" s="70">
        <f>[21]Cover!$D$27</f>
        <v>0</v>
      </c>
      <c r="P131" s="70">
        <f>[21]Cover!$E$27</f>
        <v>0</v>
      </c>
      <c r="Q131" s="71">
        <v>0</v>
      </c>
      <c r="R131" s="58"/>
    </row>
    <row r="132" spans="1:24" x14ac:dyDescent="0.2">
      <c r="A132" s="26">
        <v>20</v>
      </c>
      <c r="B132" s="27" t="s">
        <v>65</v>
      </c>
      <c r="C132" s="59">
        <f t="shared" ref="C132:N132" si="23">SUM(C130:C131)</f>
        <v>0</v>
      </c>
      <c r="D132" s="59">
        <f t="shared" si="23"/>
        <v>82500</v>
      </c>
      <c r="E132" s="59">
        <f t="shared" si="23"/>
        <v>96250</v>
      </c>
      <c r="F132" s="65">
        <f t="shared" si="23"/>
        <v>73500</v>
      </c>
      <c r="G132" s="65">
        <f t="shared" si="23"/>
        <v>74970</v>
      </c>
      <c r="H132" s="59">
        <f t="shared" si="23"/>
        <v>76470</v>
      </c>
      <c r="I132" s="58">
        <f t="shared" si="23"/>
        <v>76470</v>
      </c>
      <c r="J132" s="58">
        <f t="shared" si="23"/>
        <v>76470</v>
      </c>
      <c r="K132" s="59">
        <f t="shared" si="23"/>
        <v>70000</v>
      </c>
      <c r="L132" s="41">
        <f t="shared" si="23"/>
        <v>77828</v>
      </c>
      <c r="M132" s="41">
        <f>SUM(M130:M131)</f>
        <v>77828</v>
      </c>
      <c r="N132" s="59">
        <f t="shared" si="23"/>
        <v>60000</v>
      </c>
      <c r="O132" s="59">
        <f>SUM(O130:O131)</f>
        <v>60000</v>
      </c>
      <c r="P132" s="59">
        <f>SUM(P130:P131)</f>
        <v>60000</v>
      </c>
      <c r="Q132" s="59">
        <f>SUM(Q130:Q131)</f>
        <v>0</v>
      </c>
      <c r="R132" s="63">
        <f>O132-N132</f>
        <v>0</v>
      </c>
      <c r="S132" s="64">
        <f>R132/N132</f>
        <v>0</v>
      </c>
      <c r="W132" s="63">
        <f>P132-N132</f>
        <v>0</v>
      </c>
      <c r="X132" s="64">
        <f>W132/N132</f>
        <v>0</v>
      </c>
    </row>
    <row r="133" spans="1:24" x14ac:dyDescent="0.2">
      <c r="A133" s="26"/>
      <c r="B133" s="27"/>
      <c r="C133" s="51"/>
      <c r="D133" s="59"/>
      <c r="E133" s="59"/>
      <c r="F133" s="65"/>
      <c r="G133" s="65"/>
      <c r="H133" s="65"/>
      <c r="I133" s="66"/>
      <c r="J133" s="66"/>
      <c r="K133" s="59"/>
      <c r="L133" s="41"/>
      <c r="M133" s="41"/>
      <c r="N133" s="59"/>
      <c r="O133" s="59"/>
      <c r="P133" s="59"/>
      <c r="Q133" s="59"/>
      <c r="R133" s="58"/>
    </row>
    <row r="134" spans="1:24" x14ac:dyDescent="0.2">
      <c r="A134" s="28"/>
      <c r="B134" s="29" t="s">
        <v>200</v>
      </c>
      <c r="C134" s="77"/>
      <c r="D134" s="65"/>
      <c r="E134" s="65"/>
      <c r="F134" s="65"/>
      <c r="G134" s="65"/>
      <c r="H134" s="65"/>
      <c r="I134" s="66"/>
      <c r="J134" s="66"/>
      <c r="K134" s="65"/>
      <c r="L134" s="75"/>
      <c r="M134" s="75"/>
      <c r="N134" s="65"/>
      <c r="O134" s="65"/>
      <c r="P134" s="65"/>
      <c r="Q134" s="65"/>
      <c r="R134" s="66"/>
      <c r="S134" s="76"/>
    </row>
    <row r="135" spans="1:24" x14ac:dyDescent="0.2">
      <c r="A135" s="28"/>
      <c r="B135" s="30" t="s">
        <v>64</v>
      </c>
      <c r="C135" s="77" t="e">
        <v>#REF!</v>
      </c>
      <c r="D135" s="77">
        <v>52888</v>
      </c>
      <c r="E135" s="77">
        <v>84890</v>
      </c>
      <c r="F135" s="77">
        <v>100439.97</v>
      </c>
      <c r="G135" s="77">
        <v>97980.540000000008</v>
      </c>
      <c r="H135" s="77">
        <f>64000+35188.02</f>
        <v>99188.01999999999</v>
      </c>
      <c r="I135" s="78">
        <v>100218</v>
      </c>
      <c r="J135" s="78">
        <v>64100</v>
      </c>
      <c r="K135" s="77">
        <v>64000</v>
      </c>
      <c r="L135" s="75">
        <f>[22]Cover!$B$12</f>
        <v>0</v>
      </c>
      <c r="M135" s="75">
        <f>[22]Cover!$B$12</f>
        <v>0</v>
      </c>
      <c r="N135" s="65">
        <f>[22]Cover!$C$12</f>
        <v>101456</v>
      </c>
      <c r="O135" s="65">
        <f>[22]Cover!$D$12</f>
        <v>100259</v>
      </c>
      <c r="P135" s="65">
        <f>[22]Cover!$E$12</f>
        <v>100263</v>
      </c>
      <c r="Q135" s="65">
        <v>0</v>
      </c>
      <c r="R135" s="66"/>
      <c r="S135" s="76"/>
    </row>
    <row r="136" spans="1:24" x14ac:dyDescent="0.2">
      <c r="A136" s="28"/>
      <c r="B136" s="30" t="s">
        <v>67</v>
      </c>
      <c r="C136" s="77">
        <f>1212.97+1634.94+1343.13</f>
        <v>4191.04</v>
      </c>
      <c r="D136" s="65">
        <v>1200</v>
      </c>
      <c r="E136" s="65">
        <v>5164</v>
      </c>
      <c r="F136" s="65">
        <v>4687.8</v>
      </c>
      <c r="G136" s="65">
        <f>1217.48+70</f>
        <v>1287.48</v>
      </c>
      <c r="H136" s="65">
        <f>101858.7-H135-H137</f>
        <v>2670.6800000000076</v>
      </c>
      <c r="I136" s="66">
        <v>831</v>
      </c>
      <c r="J136" s="66">
        <v>994</v>
      </c>
      <c r="K136" s="65">
        <f>907.21+1499.86</f>
        <v>2407.0699999999997</v>
      </c>
      <c r="L136" s="75">
        <f>[22]Cover!$B$15+[22]Cover!$B$18+[22]Cover!$B$21+[22]Cover!$B$24+[22]Cover!$B$30</f>
        <v>0</v>
      </c>
      <c r="M136" s="75">
        <f>[22]Cover!$B$15+[22]Cover!$B$18+[22]Cover!$B$21+[22]Cover!$B$24+[22]Cover!$B$30</f>
        <v>0</v>
      </c>
      <c r="N136" s="65">
        <f>[22]Cover!$C$15+[22]Cover!$C$18+[22]Cover!$C$21+[22]Cover!$C$24+[22]Cover!$C$30</f>
        <v>3700</v>
      </c>
      <c r="O136" s="65">
        <f>[22]Cover!$D$15+[22]Cover!$D$18+[22]Cover!$D$21+[22]Cover!$D$24+[22]Cover!$D$30</f>
        <v>3275</v>
      </c>
      <c r="P136" s="65">
        <f>[22]Cover!$E$15+[22]Cover!$E$18+[22]Cover!$E$21+[22]Cover!$E$24+[22]Cover!$E$30</f>
        <v>3275</v>
      </c>
      <c r="Q136" s="65">
        <v>0</v>
      </c>
      <c r="R136" s="66"/>
      <c r="S136" s="76"/>
    </row>
    <row r="137" spans="1:24" x14ac:dyDescent="0.2">
      <c r="A137" s="28"/>
      <c r="B137" s="30" t="s">
        <v>68</v>
      </c>
      <c r="C137" s="79"/>
      <c r="D137" s="71">
        <v>1600</v>
      </c>
      <c r="E137" s="71"/>
      <c r="F137" s="71"/>
      <c r="G137" s="71">
        <v>0</v>
      </c>
      <c r="H137" s="71">
        <v>0</v>
      </c>
      <c r="I137" s="72">
        <v>0</v>
      </c>
      <c r="J137" s="72">
        <v>0</v>
      </c>
      <c r="K137" s="71">
        <v>0</v>
      </c>
      <c r="L137" s="80">
        <f>[22]Cover!$B$27</f>
        <v>0</v>
      </c>
      <c r="M137" s="80">
        <f>[22]Cover!$B$27</f>
        <v>0</v>
      </c>
      <c r="N137" s="71">
        <f>[22]Cover!$C$27</f>
        <v>0</v>
      </c>
      <c r="O137" s="71">
        <f>[22]Cover!$D$27</f>
        <v>0</v>
      </c>
      <c r="P137" s="71">
        <f>[22]Cover!$E$27</f>
        <v>0</v>
      </c>
      <c r="Q137" s="71">
        <v>0</v>
      </c>
      <c r="R137" s="66"/>
      <c r="S137" s="76"/>
    </row>
    <row r="138" spans="1:24" x14ac:dyDescent="0.2">
      <c r="A138" s="28">
        <v>21</v>
      </c>
      <c r="B138" s="30" t="s">
        <v>65</v>
      </c>
      <c r="C138" s="77" t="e">
        <f t="shared" ref="C138:N138" si="24">SUM(C135:C137)</f>
        <v>#REF!</v>
      </c>
      <c r="D138" s="65">
        <f t="shared" si="24"/>
        <v>55688</v>
      </c>
      <c r="E138" s="61">
        <f t="shared" si="24"/>
        <v>90054</v>
      </c>
      <c r="F138" s="61">
        <f t="shared" si="24"/>
        <v>105127.77</v>
      </c>
      <c r="G138" s="61">
        <f t="shared" si="24"/>
        <v>99268.02</v>
      </c>
      <c r="H138" s="61">
        <f t="shared" si="24"/>
        <v>101858.7</v>
      </c>
      <c r="I138" s="81">
        <f t="shared" si="24"/>
        <v>101049</v>
      </c>
      <c r="J138" s="81">
        <f t="shared" si="24"/>
        <v>65094</v>
      </c>
      <c r="K138" s="61">
        <f t="shared" si="24"/>
        <v>66407.070000000007</v>
      </c>
      <c r="L138" s="75">
        <f t="shared" si="24"/>
        <v>0</v>
      </c>
      <c r="M138" s="75">
        <f>SUM(M135:M137)</f>
        <v>0</v>
      </c>
      <c r="N138" s="61">
        <f t="shared" si="24"/>
        <v>105156</v>
      </c>
      <c r="O138" s="61">
        <f>SUM(O135:O137)</f>
        <v>103534</v>
      </c>
      <c r="P138" s="61">
        <f>SUM(P135:P137)</f>
        <v>103538</v>
      </c>
      <c r="Q138" s="61">
        <f>SUM(Q135:Q137)</f>
        <v>0</v>
      </c>
      <c r="R138" s="63">
        <f>O138-N138</f>
        <v>-1622</v>
      </c>
      <c r="S138" s="64">
        <f>R138/N138</f>
        <v>-1.5424702346989234E-2</v>
      </c>
      <c r="W138" s="63">
        <f>P138-N138</f>
        <v>-1618</v>
      </c>
      <c r="X138" s="64">
        <f>W138/N138</f>
        <v>-1.5386663623568792E-2</v>
      </c>
    </row>
    <row r="139" spans="1:24" hidden="1" x14ac:dyDescent="0.2">
      <c r="A139" s="26"/>
      <c r="B139" s="27"/>
      <c r="C139" s="51"/>
      <c r="D139" s="59"/>
      <c r="E139" s="59"/>
      <c r="F139" s="61"/>
      <c r="G139" s="61"/>
      <c r="H139" s="61"/>
      <c r="I139" s="81"/>
      <c r="J139" s="81"/>
      <c r="K139" s="59"/>
      <c r="L139" s="41"/>
      <c r="M139" s="41"/>
      <c r="N139" s="59"/>
      <c r="O139" s="59"/>
      <c r="P139" s="59"/>
      <c r="Q139" s="59"/>
      <c r="R139" s="58"/>
    </row>
    <row r="140" spans="1:24" hidden="1" x14ac:dyDescent="0.2">
      <c r="A140" s="28"/>
      <c r="B140" s="29" t="s">
        <v>92</v>
      </c>
      <c r="C140" s="77"/>
      <c r="D140" s="65"/>
      <c r="E140" s="65"/>
      <c r="F140" s="65"/>
      <c r="G140" s="65"/>
      <c r="H140" s="65"/>
      <c r="I140" s="66"/>
      <c r="J140" s="66"/>
      <c r="K140" s="65"/>
      <c r="L140" s="75"/>
      <c r="M140" s="75"/>
      <c r="N140" s="65"/>
      <c r="O140" s="65"/>
      <c r="P140" s="65"/>
      <c r="Q140" s="65"/>
      <c r="R140" s="66"/>
      <c r="S140" s="76"/>
    </row>
    <row r="141" spans="1:24" hidden="1" x14ac:dyDescent="0.2">
      <c r="A141" s="28"/>
      <c r="B141" s="30" t="s">
        <v>64</v>
      </c>
      <c r="C141" s="77">
        <v>14820</v>
      </c>
      <c r="D141" s="77">
        <v>14620</v>
      </c>
      <c r="E141" s="77">
        <v>18500</v>
      </c>
      <c r="F141" s="77">
        <v>18500</v>
      </c>
      <c r="G141" s="77">
        <v>18965</v>
      </c>
      <c r="H141" s="77">
        <f>17133.96+2400</f>
        <v>19533.96</v>
      </c>
      <c r="I141" s="78">
        <v>18333.96</v>
      </c>
      <c r="J141" s="78">
        <v>18334</v>
      </c>
      <c r="K141" s="77">
        <f>17134+1200</f>
        <v>18334</v>
      </c>
      <c r="L141" s="75" t="e">
        <f>#REF!</f>
        <v>#REF!</v>
      </c>
      <c r="M141" s="75"/>
      <c r="N141" s="65"/>
      <c r="O141" s="65">
        <f>[23]Cover!$D$12</f>
        <v>0</v>
      </c>
      <c r="P141" s="65">
        <f>[23]Cover!$E$12</f>
        <v>0</v>
      </c>
      <c r="Q141" s="65">
        <v>0</v>
      </c>
      <c r="R141" s="66"/>
      <c r="S141" s="76"/>
    </row>
    <row r="142" spans="1:24" hidden="1" x14ac:dyDescent="0.2">
      <c r="A142" s="28"/>
      <c r="B142" s="30" t="s">
        <v>67</v>
      </c>
      <c r="C142" s="77"/>
      <c r="D142" s="65">
        <v>1200</v>
      </c>
      <c r="E142" s="77"/>
      <c r="F142" s="65">
        <v>0</v>
      </c>
      <c r="G142" s="65">
        <v>1150</v>
      </c>
      <c r="H142" s="65">
        <v>835.9</v>
      </c>
      <c r="I142" s="66">
        <v>0</v>
      </c>
      <c r="J142" s="66">
        <v>75</v>
      </c>
      <c r="K142" s="65">
        <v>235</v>
      </c>
      <c r="L142" s="75" t="e">
        <f>#REF!+#REF!+#REF!+#REF!+#REF!</f>
        <v>#REF!</v>
      </c>
      <c r="M142" s="75"/>
      <c r="N142" s="65"/>
      <c r="O142" s="65">
        <f>[23]Cover!$D$15+[23]Cover!$D$18+[23]Cover!$D$21+[23]Cover!$D$24+[23]Cover!$D$30</f>
        <v>0</v>
      </c>
      <c r="P142" s="65">
        <f>[23]Cover!$E$15+[23]Cover!$E$18+[23]Cover!$E$21+[23]Cover!$E$24+[23]Cover!$E$30</f>
        <v>0</v>
      </c>
      <c r="Q142" s="65">
        <v>0</v>
      </c>
      <c r="R142" s="66"/>
      <c r="S142" s="76"/>
    </row>
    <row r="143" spans="1:24" hidden="1" x14ac:dyDescent="0.2">
      <c r="A143" s="28"/>
      <c r="B143" s="30" t="s">
        <v>68</v>
      </c>
      <c r="C143" s="79">
        <v>0</v>
      </c>
      <c r="D143" s="71"/>
      <c r="E143" s="71"/>
      <c r="F143" s="71"/>
      <c r="G143" s="71">
        <v>0</v>
      </c>
      <c r="H143" s="71">
        <v>0</v>
      </c>
      <c r="I143" s="72">
        <v>0</v>
      </c>
      <c r="J143" s="72">
        <v>0</v>
      </c>
      <c r="K143" s="71">
        <v>0</v>
      </c>
      <c r="L143" s="80" t="e">
        <f>#REF!</f>
        <v>#REF!</v>
      </c>
      <c r="M143" s="80">
        <f>[23]Cover!$B$27</f>
        <v>0</v>
      </c>
      <c r="N143" s="71">
        <f>[23]Cover!$C$27</f>
        <v>0</v>
      </c>
      <c r="O143" s="71">
        <f>[23]Cover!$D$27</f>
        <v>0</v>
      </c>
      <c r="P143" s="71">
        <f>[23]Cover!$E$27</f>
        <v>0</v>
      </c>
      <c r="Q143" s="71">
        <v>0</v>
      </c>
      <c r="R143" s="66"/>
      <c r="S143" s="76"/>
    </row>
    <row r="144" spans="1:24" hidden="1" x14ac:dyDescent="0.2">
      <c r="A144" s="28">
        <v>25</v>
      </c>
      <c r="B144" s="30" t="s">
        <v>65</v>
      </c>
      <c r="C144" s="77">
        <f t="shared" ref="C144:N144" si="25">SUM(C141:C143)</f>
        <v>14820</v>
      </c>
      <c r="D144" s="65">
        <f t="shared" si="25"/>
        <v>15820</v>
      </c>
      <c r="E144" s="65">
        <f t="shared" si="25"/>
        <v>18500</v>
      </c>
      <c r="F144" s="65">
        <f t="shared" si="25"/>
        <v>18500</v>
      </c>
      <c r="G144" s="65">
        <f t="shared" si="25"/>
        <v>20115</v>
      </c>
      <c r="H144" s="65">
        <f t="shared" si="25"/>
        <v>20369.86</v>
      </c>
      <c r="I144" s="66">
        <f t="shared" si="25"/>
        <v>18333.96</v>
      </c>
      <c r="J144" s="66">
        <f t="shared" si="25"/>
        <v>18409</v>
      </c>
      <c r="K144" s="65">
        <f t="shared" si="25"/>
        <v>18569</v>
      </c>
      <c r="L144" s="75" t="e">
        <f t="shared" si="25"/>
        <v>#REF!</v>
      </c>
      <c r="M144" s="75">
        <f>SUM(M141:M143)</f>
        <v>0</v>
      </c>
      <c r="N144" s="65">
        <f t="shared" si="25"/>
        <v>0</v>
      </c>
      <c r="O144" s="65">
        <f>SUM(O141:O143)</f>
        <v>0</v>
      </c>
      <c r="P144" s="65">
        <f>SUM(P141:P143)</f>
        <v>0</v>
      </c>
      <c r="Q144" s="65">
        <f>SUM(Q141:Q143)</f>
        <v>0</v>
      </c>
      <c r="R144" s="63">
        <f>O144-N144</f>
        <v>0</v>
      </c>
      <c r="S144" s="64"/>
      <c r="W144" s="63"/>
      <c r="X144" s="64"/>
    </row>
    <row r="145" spans="1:24" hidden="1" x14ac:dyDescent="0.2">
      <c r="A145" s="26"/>
      <c r="B145" s="27"/>
      <c r="C145" s="51"/>
      <c r="D145" s="59"/>
      <c r="E145" s="59"/>
      <c r="F145" s="65"/>
      <c r="G145" s="65"/>
      <c r="H145" s="65"/>
      <c r="I145" s="66"/>
      <c r="J145" s="66"/>
      <c r="K145" s="59"/>
      <c r="L145" s="41"/>
      <c r="M145" s="41"/>
      <c r="N145" s="59"/>
      <c r="O145" s="59"/>
      <c r="P145" s="59"/>
      <c r="Q145" s="59"/>
      <c r="R145" s="58"/>
    </row>
    <row r="146" spans="1:24" hidden="1" x14ac:dyDescent="0.2">
      <c r="A146" s="26"/>
      <c r="B146" s="14" t="s">
        <v>93</v>
      </c>
      <c r="C146" s="51"/>
      <c r="D146" s="59"/>
      <c r="E146" s="59"/>
      <c r="F146" s="65"/>
      <c r="G146" s="65"/>
      <c r="H146" s="65"/>
      <c r="I146" s="66"/>
      <c r="J146" s="66"/>
      <c r="K146" s="59"/>
      <c r="L146" s="41"/>
      <c r="M146" s="41"/>
      <c r="N146" s="59"/>
      <c r="O146" s="59"/>
      <c r="P146" s="59"/>
      <c r="Q146" s="59"/>
      <c r="R146" s="58"/>
    </row>
    <row r="147" spans="1:24" hidden="1" x14ac:dyDescent="0.2">
      <c r="A147" s="26"/>
      <c r="B147" s="27" t="s">
        <v>64</v>
      </c>
      <c r="C147" s="51" t="e">
        <v>#REF!</v>
      </c>
      <c r="D147" s="51">
        <v>0</v>
      </c>
      <c r="E147" s="51" t="e">
        <v>#REF!</v>
      </c>
      <c r="F147" s="51">
        <v>0</v>
      </c>
      <c r="G147" s="51">
        <v>0</v>
      </c>
      <c r="H147" s="51">
        <v>0</v>
      </c>
      <c r="I147" s="68">
        <v>0</v>
      </c>
      <c r="J147" s="68">
        <v>0</v>
      </c>
      <c r="K147" s="51">
        <v>0</v>
      </c>
      <c r="L147" s="41">
        <v>0</v>
      </c>
      <c r="M147" s="41">
        <v>0</v>
      </c>
      <c r="N147" s="59">
        <v>0</v>
      </c>
      <c r="O147" s="59">
        <v>0</v>
      </c>
      <c r="P147" s="59"/>
      <c r="Q147" s="59"/>
      <c r="R147" s="58"/>
    </row>
    <row r="148" spans="1:24" hidden="1" x14ac:dyDescent="0.2">
      <c r="A148" s="26"/>
      <c r="B148" s="27" t="s">
        <v>67</v>
      </c>
      <c r="C148" s="90">
        <v>2500</v>
      </c>
      <c r="D148" s="59">
        <v>2500</v>
      </c>
      <c r="E148" s="51">
        <v>2500</v>
      </c>
      <c r="F148" s="65">
        <v>2500</v>
      </c>
      <c r="G148" s="65">
        <v>2275.98</v>
      </c>
      <c r="H148" s="65">
        <v>0</v>
      </c>
      <c r="I148" s="66">
        <v>0</v>
      </c>
      <c r="J148" s="66">
        <v>0</v>
      </c>
      <c r="K148" s="59">
        <v>0</v>
      </c>
      <c r="L148" s="41">
        <v>0</v>
      </c>
      <c r="M148" s="41">
        <v>0</v>
      </c>
      <c r="N148" s="59"/>
      <c r="O148" s="59"/>
      <c r="P148" s="59">
        <v>0</v>
      </c>
      <c r="Q148" s="59"/>
      <c r="R148" s="58"/>
    </row>
    <row r="149" spans="1:24" hidden="1" x14ac:dyDescent="0.2">
      <c r="A149" s="26"/>
      <c r="B149" s="27" t="s">
        <v>68</v>
      </c>
      <c r="C149" s="56"/>
      <c r="D149" s="70"/>
      <c r="E149" s="70"/>
      <c r="F149" s="71"/>
      <c r="G149" s="71"/>
      <c r="H149" s="71">
        <v>0</v>
      </c>
      <c r="I149" s="72">
        <v>0</v>
      </c>
      <c r="J149" s="72">
        <v>0</v>
      </c>
      <c r="K149" s="70">
        <v>0</v>
      </c>
      <c r="L149" s="73">
        <v>0</v>
      </c>
      <c r="M149" s="73">
        <v>0</v>
      </c>
      <c r="N149" s="70">
        <v>0</v>
      </c>
      <c r="O149" s="70">
        <v>0</v>
      </c>
      <c r="P149" s="70"/>
      <c r="Q149" s="71"/>
      <c r="R149" s="58"/>
    </row>
    <row r="150" spans="1:24" hidden="1" x14ac:dyDescent="0.2">
      <c r="A150" s="26">
        <v>26</v>
      </c>
      <c r="B150" s="27" t="s">
        <v>65</v>
      </c>
      <c r="C150" s="51">
        <v>2500</v>
      </c>
      <c r="D150" s="59">
        <f t="shared" ref="D150:N150" si="26">SUM(D147:D148)</f>
        <v>2500</v>
      </c>
      <c r="E150" s="59" t="e">
        <f t="shared" si="26"/>
        <v>#REF!</v>
      </c>
      <c r="F150" s="65">
        <f t="shared" si="26"/>
        <v>2500</v>
      </c>
      <c r="G150" s="65">
        <f t="shared" si="26"/>
        <v>2275.98</v>
      </c>
      <c r="H150" s="59">
        <f t="shared" si="26"/>
        <v>0</v>
      </c>
      <c r="I150" s="58">
        <f t="shared" si="26"/>
        <v>0</v>
      </c>
      <c r="J150" s="58">
        <f t="shared" si="26"/>
        <v>0</v>
      </c>
      <c r="K150" s="59">
        <f t="shared" si="26"/>
        <v>0</v>
      </c>
      <c r="L150" s="59">
        <f t="shared" si="26"/>
        <v>0</v>
      </c>
      <c r="M150" s="59">
        <f>SUM(M147:M148)</f>
        <v>0</v>
      </c>
      <c r="N150" s="59">
        <f t="shared" si="26"/>
        <v>0</v>
      </c>
      <c r="O150" s="59">
        <f>SUM(O147:O148)</f>
        <v>0</v>
      </c>
      <c r="P150" s="59">
        <f>SUM(P147:P148)</f>
        <v>0</v>
      </c>
      <c r="Q150" s="59">
        <f>SUM(Q147:Q148)</f>
        <v>0</v>
      </c>
      <c r="R150" s="63">
        <f>O150-N150</f>
        <v>0</v>
      </c>
      <c r="S150" s="64"/>
      <c r="W150" s="63"/>
      <c r="X150" s="64"/>
    </row>
    <row r="151" spans="1:24" hidden="1" x14ac:dyDescent="0.2">
      <c r="A151" s="26"/>
      <c r="B151" s="27"/>
      <c r="C151" s="51"/>
      <c r="D151" s="59"/>
      <c r="E151" s="59"/>
      <c r="F151" s="65"/>
      <c r="G151" s="65"/>
      <c r="H151" s="65"/>
      <c r="I151" s="66"/>
      <c r="J151" s="66"/>
      <c r="K151" s="59"/>
      <c r="L151" s="41"/>
      <c r="M151" s="41"/>
      <c r="N151" s="59"/>
      <c r="O151" s="59"/>
      <c r="P151" s="59"/>
      <c r="Q151" s="59"/>
      <c r="R151" s="58"/>
    </row>
    <row r="152" spans="1:24" hidden="1" x14ac:dyDescent="0.2">
      <c r="A152" s="28"/>
      <c r="B152" s="29" t="s">
        <v>94</v>
      </c>
      <c r="C152" s="77"/>
      <c r="D152" s="65"/>
      <c r="E152" s="65"/>
      <c r="F152" s="65"/>
      <c r="G152" s="65"/>
      <c r="H152" s="65"/>
      <c r="I152" s="66"/>
      <c r="J152" s="66"/>
      <c r="K152" s="65"/>
      <c r="L152" s="75"/>
      <c r="M152" s="75"/>
      <c r="N152" s="65"/>
      <c r="O152" s="65"/>
      <c r="P152" s="65"/>
      <c r="Q152" s="65"/>
      <c r="R152" s="66"/>
      <c r="S152" s="76"/>
    </row>
    <row r="153" spans="1:24" hidden="1" x14ac:dyDescent="0.2">
      <c r="A153" s="28"/>
      <c r="B153" s="30" t="s">
        <v>64</v>
      </c>
      <c r="C153" s="77">
        <v>12600</v>
      </c>
      <c r="D153" s="77">
        <v>11771</v>
      </c>
      <c r="E153" s="77">
        <v>17949</v>
      </c>
      <c r="F153" s="77">
        <v>16750</v>
      </c>
      <c r="G153" s="77">
        <v>17175</v>
      </c>
      <c r="H153" s="77">
        <f>15289.92+2400</f>
        <v>17689.919999999998</v>
      </c>
      <c r="I153" s="78">
        <v>16490</v>
      </c>
      <c r="J153" s="78">
        <v>14319</v>
      </c>
      <c r="K153" s="77">
        <f>14400+1200</f>
        <v>15600</v>
      </c>
      <c r="L153" s="75">
        <f>[24]Cover!$B$12</f>
        <v>16182</v>
      </c>
      <c r="M153" s="75"/>
      <c r="N153" s="65"/>
      <c r="O153" s="65">
        <f>[24]Cover!$D$12</f>
        <v>0</v>
      </c>
      <c r="P153" s="65">
        <f>[24]Cover!$E$12</f>
        <v>0</v>
      </c>
      <c r="Q153" s="65">
        <v>0</v>
      </c>
      <c r="R153" s="66"/>
      <c r="S153" s="76"/>
    </row>
    <row r="154" spans="1:24" hidden="1" x14ac:dyDescent="0.2">
      <c r="A154" s="28"/>
      <c r="B154" s="30" t="s">
        <v>67</v>
      </c>
      <c r="C154" s="77"/>
      <c r="D154" s="65"/>
      <c r="E154" s="77"/>
      <c r="F154" s="65">
        <v>828.54</v>
      </c>
      <c r="G154" s="65">
        <v>437.35</v>
      </c>
      <c r="H154" s="65">
        <v>859.61</v>
      </c>
      <c r="I154" s="66">
        <v>792</v>
      </c>
      <c r="J154" s="66">
        <v>225</v>
      </c>
      <c r="K154" s="65">
        <v>488.4</v>
      </c>
      <c r="L154" s="75">
        <f>[24]Cover!$B$15+[24]Cover!$B$18+[24]Cover!$B$21+[24]Cover!$B$24+[24]Cover!$B$30</f>
        <v>0</v>
      </c>
      <c r="M154" s="75"/>
      <c r="N154" s="65"/>
      <c r="O154" s="65">
        <f>[24]Cover!$D$15+[24]Cover!$D$18+[24]Cover!$D$21+[24]Cover!$D$24+[24]Cover!$D$30</f>
        <v>0</v>
      </c>
      <c r="P154" s="65">
        <f>[24]Cover!$E$15+[24]Cover!$E$18+[24]Cover!$E$21+[24]Cover!$E$24+[24]Cover!$E$30</f>
        <v>0</v>
      </c>
      <c r="Q154" s="65">
        <v>0</v>
      </c>
      <c r="R154" s="66"/>
      <c r="S154" s="76"/>
    </row>
    <row r="155" spans="1:24" hidden="1" x14ac:dyDescent="0.2">
      <c r="A155" s="28"/>
      <c r="B155" s="30" t="s">
        <v>68</v>
      </c>
      <c r="C155" s="79">
        <v>0</v>
      </c>
      <c r="D155" s="71"/>
      <c r="E155" s="71"/>
      <c r="F155" s="71"/>
      <c r="G155" s="71"/>
      <c r="H155" s="71">
        <v>0</v>
      </c>
      <c r="I155" s="72">
        <v>0</v>
      </c>
      <c r="J155" s="72">
        <v>0</v>
      </c>
      <c r="K155" s="71">
        <v>0</v>
      </c>
      <c r="L155" s="80">
        <f>[24]Cover!$B$27</f>
        <v>0</v>
      </c>
      <c r="M155" s="80">
        <f>[24]Cover!$B$27</f>
        <v>0</v>
      </c>
      <c r="N155" s="71">
        <f>[24]Cover!$C$27</f>
        <v>0</v>
      </c>
      <c r="O155" s="71">
        <f>[24]Cover!$D$27</f>
        <v>0</v>
      </c>
      <c r="P155" s="71">
        <f>[24]Cover!$E$27</f>
        <v>0</v>
      </c>
      <c r="Q155" s="71">
        <v>0</v>
      </c>
      <c r="R155" s="66"/>
      <c r="S155" s="76"/>
    </row>
    <row r="156" spans="1:24" hidden="1" x14ac:dyDescent="0.2">
      <c r="A156" s="28">
        <v>27</v>
      </c>
      <c r="B156" s="30" t="s">
        <v>65</v>
      </c>
      <c r="C156" s="77">
        <f t="shared" ref="C156:N156" si="27">SUM(C153:C155)</f>
        <v>12600</v>
      </c>
      <c r="D156" s="65">
        <f t="shared" si="27"/>
        <v>11771</v>
      </c>
      <c r="E156" s="61">
        <f t="shared" si="27"/>
        <v>17949</v>
      </c>
      <c r="F156" s="61">
        <f t="shared" si="27"/>
        <v>17578.54</v>
      </c>
      <c r="G156" s="61">
        <f t="shared" si="27"/>
        <v>17612.349999999999</v>
      </c>
      <c r="H156" s="61">
        <f t="shared" si="27"/>
        <v>18549.53</v>
      </c>
      <c r="I156" s="81">
        <f t="shared" si="27"/>
        <v>17282</v>
      </c>
      <c r="J156" s="81">
        <f t="shared" si="27"/>
        <v>14544</v>
      </c>
      <c r="K156" s="61">
        <f t="shared" si="27"/>
        <v>16088.4</v>
      </c>
      <c r="L156" s="75">
        <f t="shared" si="27"/>
        <v>16182</v>
      </c>
      <c r="M156" s="75">
        <f>SUM(M153:M155)</f>
        <v>0</v>
      </c>
      <c r="N156" s="61">
        <f t="shared" si="27"/>
        <v>0</v>
      </c>
      <c r="O156" s="61">
        <f>SUM(O153:O155)</f>
        <v>0</v>
      </c>
      <c r="P156" s="61">
        <f>SUM(P153:P155)</f>
        <v>0</v>
      </c>
      <c r="Q156" s="61">
        <f>SUM(Q153:Q155)</f>
        <v>0</v>
      </c>
      <c r="R156" s="63">
        <f>O156-N156</f>
        <v>0</v>
      </c>
      <c r="S156" s="64"/>
      <c r="W156" s="63"/>
      <c r="X156" s="64"/>
    </row>
    <row r="157" spans="1:24" hidden="1" x14ac:dyDescent="0.2">
      <c r="A157" s="26"/>
      <c r="B157" s="27"/>
      <c r="D157" s="59"/>
      <c r="E157" s="59"/>
      <c r="F157" s="65"/>
      <c r="G157" s="65"/>
      <c r="H157" s="65"/>
      <c r="I157" s="66"/>
      <c r="J157" s="66"/>
      <c r="K157" s="59"/>
      <c r="L157" s="41"/>
      <c r="M157" s="41"/>
      <c r="N157" s="59"/>
      <c r="O157" s="59"/>
      <c r="P157" s="59"/>
      <c r="Q157" s="59"/>
      <c r="R157" s="58"/>
    </row>
    <row r="158" spans="1:24" x14ac:dyDescent="0.2">
      <c r="A158" s="26"/>
      <c r="B158" s="14" t="s">
        <v>95</v>
      </c>
      <c r="D158" s="59"/>
      <c r="E158" s="59"/>
      <c r="F158" s="65"/>
      <c r="G158" s="65"/>
      <c r="H158" s="65"/>
      <c r="I158" s="66"/>
      <c r="J158" s="66"/>
      <c r="K158" s="59"/>
      <c r="L158" s="41"/>
      <c r="M158" s="41"/>
      <c r="N158" s="59"/>
      <c r="O158" s="59"/>
      <c r="P158" s="59"/>
      <c r="Q158" s="59"/>
      <c r="R158" s="58"/>
    </row>
    <row r="159" spans="1:24" x14ac:dyDescent="0.2">
      <c r="A159" s="26"/>
      <c r="B159" s="27" t="s">
        <v>64</v>
      </c>
      <c r="C159" s="51">
        <v>615</v>
      </c>
      <c r="D159" s="51">
        <v>635</v>
      </c>
      <c r="E159" s="51">
        <v>657</v>
      </c>
      <c r="F159" s="51">
        <v>1500</v>
      </c>
      <c r="G159" s="51">
        <v>1500</v>
      </c>
      <c r="H159" s="51">
        <v>1500</v>
      </c>
      <c r="I159" s="68">
        <v>0</v>
      </c>
      <c r="J159" s="68">
        <v>0</v>
      </c>
      <c r="K159" s="51">
        <v>0</v>
      </c>
      <c r="L159" s="41" t="e">
        <f>#REF!</f>
        <v>#REF!</v>
      </c>
      <c r="M159" s="41">
        <f>[25]Cover!$B$12</f>
        <v>3000</v>
      </c>
      <c r="N159" s="59">
        <f>[25]Cover!$C$12</f>
        <v>3000</v>
      </c>
      <c r="O159" s="59">
        <f>[25]Cover!$D$12</f>
        <v>3030</v>
      </c>
      <c r="P159" s="59">
        <f>[25]Cover!$E$12</f>
        <v>3120</v>
      </c>
      <c r="Q159" s="59">
        <v>0</v>
      </c>
      <c r="R159" s="58"/>
    </row>
    <row r="160" spans="1:24" x14ac:dyDescent="0.2">
      <c r="A160" s="26"/>
      <c r="B160" s="27" t="s">
        <v>67</v>
      </c>
      <c r="C160" s="51">
        <f>299.97+663.7</f>
        <v>963.67000000000007</v>
      </c>
      <c r="D160" s="59">
        <v>350</v>
      </c>
      <c r="E160" s="59">
        <v>8056</v>
      </c>
      <c r="F160" s="65">
        <v>3974</v>
      </c>
      <c r="G160" s="65">
        <f>1780.25+499.08+1898.19</f>
        <v>4177.5200000000004</v>
      </c>
      <c r="H160" s="65">
        <f>5901.37-H159-H161</f>
        <v>4401.37</v>
      </c>
      <c r="I160" s="66">
        <v>3958</v>
      </c>
      <c r="J160" s="66">
        <v>3980</v>
      </c>
      <c r="K160" s="59">
        <f>1928.86+500+1500+33.81</f>
        <v>3962.6699999999996</v>
      </c>
      <c r="L160" s="41" t="e">
        <f>#REF!+#REF!+#REF!+#REF!+#REF!</f>
        <v>#REF!</v>
      </c>
      <c r="M160" s="41">
        <f>[25]Cover!$B$15+[25]Cover!$B$18+[25]Cover!$B$21+[25]Cover!$B$24</f>
        <v>12977.25</v>
      </c>
      <c r="N160" s="41">
        <f>[25]Cover!$C$15+[25]Cover!$C$18+[25]Cover!$C$21+[25]Cover!$C$24</f>
        <v>13341</v>
      </c>
      <c r="O160" s="41">
        <f>[25]Cover!$D$15+[25]Cover!$D$18+[25]Cover!$D$21+[25]Cover!$D$24</f>
        <v>13400</v>
      </c>
      <c r="P160" s="41">
        <f>[25]Cover!$E$15+[25]Cover!$E$18+[25]Cover!$E$21+[25]Cover!$E$24</f>
        <v>13900</v>
      </c>
      <c r="Q160" s="59">
        <v>0</v>
      </c>
      <c r="R160" s="58"/>
    </row>
    <row r="161" spans="1:24" x14ac:dyDescent="0.2">
      <c r="A161" s="26"/>
      <c r="B161" s="27" t="s">
        <v>68</v>
      </c>
      <c r="C161" s="56"/>
      <c r="D161" s="70">
        <v>2390</v>
      </c>
      <c r="E161" s="70"/>
      <c r="F161" s="71"/>
      <c r="G161" s="71"/>
      <c r="H161" s="71">
        <v>0</v>
      </c>
      <c r="I161" s="72">
        <v>0</v>
      </c>
      <c r="J161" s="72">
        <v>0</v>
      </c>
      <c r="K161" s="70">
        <v>0</v>
      </c>
      <c r="L161" s="73" t="e">
        <f>#REF!</f>
        <v>#REF!</v>
      </c>
      <c r="M161" s="73">
        <f>[25]Cover!B27</f>
        <v>0</v>
      </c>
      <c r="N161" s="70">
        <f>[25]Cover!C27</f>
        <v>0</v>
      </c>
      <c r="O161" s="70">
        <f>[25]Cover!D27</f>
        <v>0</v>
      </c>
      <c r="P161" s="70">
        <f>[25]Cover!E27</f>
        <v>0</v>
      </c>
      <c r="Q161" s="71">
        <v>0</v>
      </c>
      <c r="R161" s="58"/>
    </row>
    <row r="162" spans="1:24" x14ac:dyDescent="0.2">
      <c r="A162" s="26">
        <v>22</v>
      </c>
      <c r="B162" s="27" t="s">
        <v>65</v>
      </c>
      <c r="C162" s="51">
        <v>1578.67</v>
      </c>
      <c r="D162" s="59">
        <f t="shared" ref="D162:N162" si="28">SUM(D159:D161)</f>
        <v>3375</v>
      </c>
      <c r="E162" s="59">
        <f t="shared" si="28"/>
        <v>8713</v>
      </c>
      <c r="F162" s="65">
        <f t="shared" si="28"/>
        <v>5474</v>
      </c>
      <c r="G162" s="65">
        <f t="shared" si="28"/>
        <v>5677.52</v>
      </c>
      <c r="H162" s="59">
        <f t="shared" si="28"/>
        <v>5901.37</v>
      </c>
      <c r="I162" s="58">
        <f t="shared" si="28"/>
        <v>3958</v>
      </c>
      <c r="J162" s="58">
        <f t="shared" si="28"/>
        <v>3980</v>
      </c>
      <c r="K162" s="59">
        <f t="shared" si="28"/>
        <v>3962.6699999999996</v>
      </c>
      <c r="L162" s="41" t="e">
        <f t="shared" si="28"/>
        <v>#REF!</v>
      </c>
      <c r="M162" s="41">
        <f>SUM(M159:M161)</f>
        <v>15977.25</v>
      </c>
      <c r="N162" s="59">
        <f t="shared" si="28"/>
        <v>16341</v>
      </c>
      <c r="O162" s="59">
        <f>SUM(O159:O161)</f>
        <v>16430</v>
      </c>
      <c r="P162" s="59">
        <f>SUM(P159:P161)</f>
        <v>17020</v>
      </c>
      <c r="Q162" s="59">
        <f>SUM(Q159:Q161)</f>
        <v>0</v>
      </c>
      <c r="R162" s="63">
        <f>O162-N162</f>
        <v>89</v>
      </c>
      <c r="S162" s="64">
        <f>R162/N162</f>
        <v>5.4464231075209597E-3</v>
      </c>
      <c r="W162" s="63">
        <f>P162-N162</f>
        <v>679</v>
      </c>
      <c r="X162" s="64">
        <f>W162/N162</f>
        <v>4.1551924606817212E-2</v>
      </c>
    </row>
    <row r="163" spans="1:24" x14ac:dyDescent="0.2">
      <c r="A163" s="26"/>
      <c r="B163" s="27"/>
      <c r="C163" s="51"/>
      <c r="D163" s="59"/>
      <c r="E163" s="59"/>
      <c r="F163" s="65"/>
      <c r="G163" s="65"/>
      <c r="H163" s="65"/>
      <c r="I163" s="66"/>
      <c r="J163" s="66"/>
      <c r="K163" s="59"/>
      <c r="L163" s="41"/>
      <c r="M163" s="41"/>
      <c r="N163" s="59"/>
      <c r="O163" s="59"/>
      <c r="P163" s="59"/>
      <c r="Q163" s="59"/>
      <c r="R163" s="58"/>
    </row>
    <row r="164" spans="1:24" x14ac:dyDescent="0.2">
      <c r="A164" s="26"/>
      <c r="B164" s="14" t="s">
        <v>96</v>
      </c>
      <c r="C164" s="51"/>
      <c r="D164" s="59"/>
      <c r="E164" s="59"/>
      <c r="F164" s="65"/>
      <c r="G164" s="65"/>
      <c r="H164" s="65"/>
      <c r="I164" s="66"/>
      <c r="J164" s="66"/>
      <c r="K164" s="59"/>
      <c r="L164" s="41"/>
      <c r="M164" s="41"/>
      <c r="N164" s="59"/>
      <c r="O164" s="59"/>
      <c r="P164" s="59"/>
      <c r="Q164" s="59"/>
      <c r="R164" s="58"/>
    </row>
    <row r="165" spans="1:24" x14ac:dyDescent="0.2">
      <c r="A165" s="26"/>
      <c r="B165" s="27" t="s">
        <v>64</v>
      </c>
      <c r="C165" s="67">
        <v>0</v>
      </c>
      <c r="D165" s="59">
        <v>0</v>
      </c>
      <c r="E165" s="59">
        <v>0</v>
      </c>
      <c r="F165" s="65">
        <v>0</v>
      </c>
      <c r="G165" s="65">
        <v>0</v>
      </c>
      <c r="H165" s="65">
        <v>0</v>
      </c>
      <c r="I165" s="66">
        <v>0</v>
      </c>
      <c r="J165" s="66">
        <v>0</v>
      </c>
      <c r="K165" s="59">
        <v>0</v>
      </c>
      <c r="L165" s="41">
        <f>[26]Cover!$B$12</f>
        <v>0</v>
      </c>
      <c r="M165" s="41">
        <f>[26]Cover!$B$12</f>
        <v>0</v>
      </c>
      <c r="N165" s="59">
        <f>[26]Cover!$C$12</f>
        <v>0</v>
      </c>
      <c r="O165" s="59">
        <f>[26]Cover!$D$12</f>
        <v>0</v>
      </c>
      <c r="P165" s="59">
        <f>[26]Cover!$E$12</f>
        <v>0</v>
      </c>
      <c r="Q165" s="59">
        <v>0</v>
      </c>
      <c r="R165" s="58"/>
    </row>
    <row r="166" spans="1:24" x14ac:dyDescent="0.2">
      <c r="A166" s="26"/>
      <c r="B166" s="27" t="s">
        <v>67</v>
      </c>
      <c r="C166" s="51">
        <v>22992</v>
      </c>
      <c r="D166" s="59">
        <v>23000</v>
      </c>
      <c r="E166" s="51">
        <v>24492</v>
      </c>
      <c r="F166" s="65">
        <v>22826</v>
      </c>
      <c r="G166" s="65">
        <v>17421.2</v>
      </c>
      <c r="H166" s="65">
        <v>22827.18</v>
      </c>
      <c r="I166" s="66">
        <v>23270</v>
      </c>
      <c r="J166" s="66">
        <v>23217</v>
      </c>
      <c r="K166" s="59">
        <v>26151.119999999999</v>
      </c>
      <c r="L166" s="41">
        <f>[26]Cover!$B$15+[26]Cover!$B$18+[26]Cover!$B$21+[26]Cover!$B$24+[26]Cover!$B$30</f>
        <v>25564.61</v>
      </c>
      <c r="M166" s="41">
        <f>[26]Cover!$B$15+[26]Cover!$B$18+[26]Cover!$B$21+[26]Cover!$B$24+[26]Cover!$B$30</f>
        <v>25564.61</v>
      </c>
      <c r="N166" s="59">
        <f>[26]Cover!$C$15+[26]Cover!$C$18+[26]Cover!$C$21+[26]Cover!$C$24+[26]Cover!$C$30</f>
        <v>30000</v>
      </c>
      <c r="O166" s="59">
        <f>[26]Cover!$D$15+[26]Cover!$D$18+[26]Cover!$D$21+[26]Cover!$D$24+[26]Cover!$D$30</f>
        <v>31500</v>
      </c>
      <c r="P166" s="59">
        <f>[26]Cover!$E$15+[26]Cover!$E$18+[26]Cover!$E$21+[26]Cover!$E$24+[26]Cover!$E$30</f>
        <v>30000</v>
      </c>
      <c r="Q166" s="59">
        <v>0</v>
      </c>
      <c r="R166" s="58"/>
    </row>
    <row r="167" spans="1:24" x14ac:dyDescent="0.2">
      <c r="A167" s="26"/>
      <c r="B167" s="27" t="s">
        <v>68</v>
      </c>
      <c r="C167" s="56"/>
      <c r="D167" s="70"/>
      <c r="E167" s="70"/>
      <c r="F167" s="71"/>
      <c r="G167" s="71"/>
      <c r="H167" s="71">
        <v>0</v>
      </c>
      <c r="I167" s="72">
        <v>0</v>
      </c>
      <c r="J167" s="72">
        <v>0</v>
      </c>
      <c r="K167" s="70">
        <v>0</v>
      </c>
      <c r="L167" s="73">
        <f>[26]Cover!$B$27</f>
        <v>0</v>
      </c>
      <c r="M167" s="73">
        <f>[26]Cover!$B$27</f>
        <v>0</v>
      </c>
      <c r="N167" s="70">
        <f>[26]Cover!$C$27</f>
        <v>0</v>
      </c>
      <c r="O167" s="70">
        <f>[26]Cover!$D$27</f>
        <v>0</v>
      </c>
      <c r="P167" s="70">
        <f>[26]Cover!$E$27</f>
        <v>0</v>
      </c>
      <c r="Q167" s="71">
        <v>0</v>
      </c>
      <c r="R167" s="58"/>
    </row>
    <row r="168" spans="1:24" x14ac:dyDescent="0.2">
      <c r="A168" s="26">
        <v>23</v>
      </c>
      <c r="B168" s="27" t="s">
        <v>65</v>
      </c>
      <c r="C168" s="51">
        <v>22992</v>
      </c>
      <c r="D168" s="59">
        <f>SUM(D165:D166)</f>
        <v>23000</v>
      </c>
      <c r="E168" s="60">
        <f t="shared" ref="E168:N168" si="29">SUM(E165:E167)</f>
        <v>24492</v>
      </c>
      <c r="F168" s="61">
        <f t="shared" si="29"/>
        <v>22826</v>
      </c>
      <c r="G168" s="61">
        <f t="shared" si="29"/>
        <v>17421.2</v>
      </c>
      <c r="H168" s="60">
        <f t="shared" si="29"/>
        <v>22827.18</v>
      </c>
      <c r="I168" s="62">
        <f t="shared" si="29"/>
        <v>23270</v>
      </c>
      <c r="J168" s="62">
        <f t="shared" si="29"/>
        <v>23217</v>
      </c>
      <c r="K168" s="60">
        <f t="shared" si="29"/>
        <v>26151.119999999999</v>
      </c>
      <c r="L168" s="41">
        <f t="shared" si="29"/>
        <v>25564.61</v>
      </c>
      <c r="M168" s="41">
        <f>SUM(M165:M167)</f>
        <v>25564.61</v>
      </c>
      <c r="N168" s="60">
        <f t="shared" si="29"/>
        <v>30000</v>
      </c>
      <c r="O168" s="60">
        <f>SUM(O165:O167)</f>
        <v>31500</v>
      </c>
      <c r="P168" s="60">
        <f>SUM(P165:P167)</f>
        <v>30000</v>
      </c>
      <c r="Q168" s="60">
        <f>SUM(Q165:Q167)</f>
        <v>0</v>
      </c>
      <c r="R168" s="63">
        <f>O168-N168</f>
        <v>1500</v>
      </c>
      <c r="S168" s="64">
        <f>R168/N168</f>
        <v>0.05</v>
      </c>
      <c r="W168" s="63">
        <f>P168-N168</f>
        <v>0</v>
      </c>
      <c r="X168" s="64">
        <f>W168/N168</f>
        <v>0</v>
      </c>
    </row>
    <row r="169" spans="1:24" x14ac:dyDescent="0.2">
      <c r="A169" s="26"/>
      <c r="B169" s="27"/>
      <c r="C169" s="51"/>
      <c r="D169" s="59"/>
      <c r="E169" s="59"/>
      <c r="F169" s="65"/>
      <c r="G169" s="65"/>
      <c r="H169" s="65"/>
      <c r="I169" s="66"/>
      <c r="J169" s="66"/>
      <c r="K169" s="59"/>
      <c r="L169" s="41"/>
      <c r="M169" s="41"/>
      <c r="N169" s="59"/>
      <c r="O169" s="59"/>
      <c r="P169" s="59"/>
      <c r="Q169" s="59"/>
      <c r="R169" s="58"/>
    </row>
    <row r="170" spans="1:24" x14ac:dyDescent="0.2">
      <c r="A170" s="26"/>
      <c r="B170" s="14" t="s">
        <v>97</v>
      </c>
      <c r="C170" s="51"/>
      <c r="D170" s="59"/>
      <c r="E170" s="59"/>
      <c r="F170" s="65"/>
      <c r="G170" s="65"/>
      <c r="H170" s="65"/>
      <c r="I170" s="66"/>
      <c r="J170" s="66"/>
      <c r="K170" s="59"/>
      <c r="L170" s="41"/>
      <c r="M170" s="41"/>
      <c r="N170" s="59"/>
      <c r="O170" s="59"/>
      <c r="P170" s="59"/>
      <c r="Q170" s="59"/>
      <c r="R170" s="58"/>
    </row>
    <row r="171" spans="1:24" x14ac:dyDescent="0.2">
      <c r="A171" s="26"/>
      <c r="B171" s="27" t="s">
        <v>64</v>
      </c>
      <c r="C171" s="51">
        <v>20316.370000000003</v>
      </c>
      <c r="D171" s="51">
        <v>7894</v>
      </c>
      <c r="E171" s="51">
        <v>6833</v>
      </c>
      <c r="F171" s="51">
        <v>6445</v>
      </c>
      <c r="G171" s="51">
        <v>5000</v>
      </c>
      <c r="H171" s="51">
        <v>5000</v>
      </c>
      <c r="I171" s="68">
        <v>5000.04</v>
      </c>
      <c r="J171" s="68">
        <v>5000</v>
      </c>
      <c r="K171" s="51">
        <v>5000</v>
      </c>
      <c r="L171" s="83">
        <f>[27]Cover!$B$12</f>
        <v>5202</v>
      </c>
      <c r="M171" s="83">
        <f>[27]Cover!$B$12</f>
        <v>5202</v>
      </c>
      <c r="N171" s="51">
        <f>[27]Cover!$C$12</f>
        <v>5255</v>
      </c>
      <c r="O171" s="51">
        <f>[27]Cover!$D$12</f>
        <v>5308</v>
      </c>
      <c r="P171" s="51">
        <f>[27]Cover!$E$12</f>
        <v>5308</v>
      </c>
      <c r="Q171" s="51">
        <v>0</v>
      </c>
      <c r="R171" s="68"/>
    </row>
    <row r="172" spans="1:24" x14ac:dyDescent="0.2">
      <c r="A172" s="26"/>
      <c r="B172" s="27" t="s">
        <v>67</v>
      </c>
      <c r="C172" s="51">
        <f>1097.2+234.5+11749.45</f>
        <v>13081.150000000001</v>
      </c>
      <c r="D172" s="59">
        <v>0</v>
      </c>
      <c r="E172" s="59">
        <v>13319</v>
      </c>
      <c r="F172" s="65">
        <v>9858.98</v>
      </c>
      <c r="G172" s="65">
        <f>1440+497.48+20310</f>
        <v>22247.48</v>
      </c>
      <c r="H172" s="65">
        <f>27466.42-H171-H173</f>
        <v>22466.42</v>
      </c>
      <c r="I172" s="66">
        <v>23493</v>
      </c>
      <c r="J172" s="66">
        <v>23180</v>
      </c>
      <c r="K172" s="59">
        <f>1344.95+543.64+320+17383.4</f>
        <v>19591.990000000002</v>
      </c>
      <c r="L172" s="41">
        <f>[27]Cover!$B$15+[27]Cover!$B$18+[27]Cover!$B$21+[27]Cover!$B$24+[27]Cover!$B$30</f>
        <v>24886.21</v>
      </c>
      <c r="M172" s="41">
        <f>[27]Cover!$B$15+[27]Cover!$B$18+[27]Cover!$B$21+[27]Cover!$B$24+[27]Cover!$B$30</f>
        <v>24886.21</v>
      </c>
      <c r="N172" s="59">
        <f>[27]Cover!$C$15+[27]Cover!$C$18+[27]Cover!$C$21+[27]Cover!$C$24+[27]Cover!$C$30</f>
        <v>24700</v>
      </c>
      <c r="O172" s="59">
        <f>[27]Cover!$D$15+[27]Cover!$D$18+[27]Cover!$D$21+[27]Cover!$D$24+[27]Cover!$D$30</f>
        <v>27400</v>
      </c>
      <c r="P172" s="59">
        <f>[27]Cover!$E$15+[27]Cover!$E$18+[27]Cover!$E$21+[27]Cover!$E$24+[27]Cover!$E$30</f>
        <v>26400</v>
      </c>
      <c r="Q172" s="59">
        <v>0</v>
      </c>
      <c r="R172" s="58"/>
    </row>
    <row r="173" spans="1:24" x14ac:dyDescent="0.2">
      <c r="A173" s="26"/>
      <c r="B173" s="27" t="s">
        <v>68</v>
      </c>
      <c r="C173" s="56"/>
      <c r="D173" s="70">
        <v>2100</v>
      </c>
      <c r="E173" s="70">
        <v>500</v>
      </c>
      <c r="F173" s="71">
        <v>0</v>
      </c>
      <c r="G173" s="71"/>
      <c r="H173" s="71">
        <v>0</v>
      </c>
      <c r="I173" s="72">
        <v>0</v>
      </c>
      <c r="J173" s="72"/>
      <c r="K173" s="70">
        <v>0</v>
      </c>
      <c r="L173" s="73">
        <f>[27]Cover!$B$27</f>
        <v>0</v>
      </c>
      <c r="M173" s="73">
        <f>[27]Cover!$B$27</f>
        <v>0</v>
      </c>
      <c r="N173" s="70">
        <f>[27]Cover!$C$27</f>
        <v>0</v>
      </c>
      <c r="O173" s="70">
        <f>[27]Cover!$D$27</f>
        <v>0</v>
      </c>
      <c r="P173" s="70">
        <f>[27]Cover!$E$27</f>
        <v>0</v>
      </c>
      <c r="Q173" s="71">
        <v>0</v>
      </c>
      <c r="R173" s="58"/>
    </row>
    <row r="174" spans="1:24" x14ac:dyDescent="0.2">
      <c r="A174" s="26">
        <v>24</v>
      </c>
      <c r="B174" s="27" t="s">
        <v>65</v>
      </c>
      <c r="C174" s="51">
        <v>33397.519999999997</v>
      </c>
      <c r="D174" s="59">
        <f t="shared" ref="D174:N174" si="30">SUM(D171:D173)</f>
        <v>9994</v>
      </c>
      <c r="E174" s="59">
        <f t="shared" si="30"/>
        <v>20652</v>
      </c>
      <c r="F174" s="65">
        <f t="shared" si="30"/>
        <v>16303.98</v>
      </c>
      <c r="G174" s="65">
        <f t="shared" si="30"/>
        <v>27247.48</v>
      </c>
      <c r="H174" s="59">
        <f t="shared" si="30"/>
        <v>27466.42</v>
      </c>
      <c r="I174" s="58">
        <f t="shared" si="30"/>
        <v>28493.040000000001</v>
      </c>
      <c r="J174" s="58">
        <f t="shared" si="30"/>
        <v>28180</v>
      </c>
      <c r="K174" s="59">
        <f t="shared" si="30"/>
        <v>24591.99</v>
      </c>
      <c r="L174" s="41">
        <f t="shared" si="30"/>
        <v>30088.21</v>
      </c>
      <c r="M174" s="41">
        <f>SUM(M171:M173)</f>
        <v>30088.21</v>
      </c>
      <c r="N174" s="59">
        <f t="shared" si="30"/>
        <v>29955</v>
      </c>
      <c r="O174" s="59">
        <f>SUM(O171:O173)</f>
        <v>32708</v>
      </c>
      <c r="P174" s="59">
        <f>SUM(P171:P173)</f>
        <v>31708</v>
      </c>
      <c r="Q174" s="59">
        <f>SUM(Q171:Q173)</f>
        <v>0</v>
      </c>
      <c r="R174" s="63">
        <f>O174-N174</f>
        <v>2753</v>
      </c>
      <c r="S174" s="64">
        <f>R174/N174</f>
        <v>9.1904523451844439E-2</v>
      </c>
      <c r="W174" s="63">
        <f>P174-N174</f>
        <v>1753</v>
      </c>
      <c r="X174" s="64">
        <f>W174/N174</f>
        <v>5.8521115005842096E-2</v>
      </c>
    </row>
    <row r="175" spans="1:24" x14ac:dyDescent="0.2">
      <c r="A175" s="26"/>
      <c r="B175" s="27"/>
      <c r="C175" s="51"/>
      <c r="D175" s="59"/>
      <c r="E175" s="59"/>
      <c r="K175" s="59"/>
      <c r="L175" s="41"/>
      <c r="M175" s="41"/>
      <c r="N175" s="59"/>
      <c r="O175" s="59"/>
      <c r="P175" s="59"/>
      <c r="Q175" s="59"/>
      <c r="R175" s="58"/>
    </row>
    <row r="176" spans="1:24" x14ac:dyDescent="0.2">
      <c r="A176" s="26"/>
      <c r="B176" s="14" t="s">
        <v>98</v>
      </c>
      <c r="C176" s="85" t="e">
        <f t="shared" ref="C176:N176" si="31">SUM(C174,C168,C162,C156,C150,C144,C138,C132,C127,C120,)</f>
        <v>#REF!</v>
      </c>
      <c r="D176" s="85">
        <f t="shared" si="31"/>
        <v>2289495</v>
      </c>
      <c r="E176" s="85" t="e">
        <f t="shared" si="31"/>
        <v>#REF!</v>
      </c>
      <c r="F176" s="86">
        <f t="shared" si="31"/>
        <v>2545975.9800000004</v>
      </c>
      <c r="G176" s="86">
        <f t="shared" si="31"/>
        <v>2711911.41</v>
      </c>
      <c r="H176" s="85">
        <f t="shared" si="31"/>
        <v>2681326.36</v>
      </c>
      <c r="I176" s="63">
        <f t="shared" si="31"/>
        <v>2724835</v>
      </c>
      <c r="J176" s="63">
        <f t="shared" si="31"/>
        <v>2662800</v>
      </c>
      <c r="K176" s="85">
        <f t="shared" si="31"/>
        <v>2814091.7199999997</v>
      </c>
      <c r="L176" s="87" t="e">
        <f t="shared" si="31"/>
        <v>#REF!</v>
      </c>
      <c r="M176" s="87">
        <f>SUM(M174,M168,M162,M156,M150,M144,M138,M132,M127,M120,)</f>
        <v>2966654.5199999996</v>
      </c>
      <c r="N176" s="85">
        <f t="shared" si="31"/>
        <v>3187030</v>
      </c>
      <c r="O176" s="85">
        <f>SUM(O174,O168,O162,O156,O150,O144,O138,O132,O127,O120,)</f>
        <v>3638448</v>
      </c>
      <c r="P176" s="85">
        <f>SUM(P174,P168,P162,P156,P150,P144,P138,P132,P127,P120,)</f>
        <v>3286559</v>
      </c>
      <c r="Q176" s="85">
        <f>SUM(Q174,Q168,Q162,Q156,Q150,Q144,Q138,Q132,Q127,Q120,)</f>
        <v>0</v>
      </c>
      <c r="R176" s="63">
        <f>O176-N176</f>
        <v>451418</v>
      </c>
      <c r="S176" s="64">
        <f>R176/N176</f>
        <v>0.14164221861733339</v>
      </c>
      <c r="V176" s="20" t="b">
        <f>R176=SUM(R120+R127+R132+R138+R144+R150+R156+R162+R168+R174)</f>
        <v>1</v>
      </c>
      <c r="W176" s="63">
        <f>P176-N176</f>
        <v>99529</v>
      </c>
      <c r="X176" s="64">
        <f>W176/N176</f>
        <v>3.1229389117767955E-2</v>
      </c>
    </row>
    <row r="177" spans="1:18" x14ac:dyDescent="0.2">
      <c r="A177" s="26"/>
      <c r="B177" s="14"/>
      <c r="C177" s="88"/>
      <c r="D177" s="85"/>
      <c r="E177" s="85"/>
      <c r="F177" s="86"/>
      <c r="G177" s="86"/>
      <c r="H177" s="86"/>
      <c r="I177" s="93"/>
      <c r="J177" s="93"/>
      <c r="K177" s="85"/>
      <c r="L177" s="94"/>
      <c r="M177" s="94"/>
      <c r="N177" s="41"/>
      <c r="O177" s="41"/>
      <c r="P177" s="41"/>
      <c r="Q177" s="41"/>
      <c r="R177" s="69"/>
    </row>
    <row r="178" spans="1:18" x14ac:dyDescent="0.2">
      <c r="A178" s="26"/>
      <c r="B178" s="14" t="s">
        <v>99</v>
      </c>
      <c r="C178" s="88"/>
      <c r="D178" s="85"/>
      <c r="E178" s="59"/>
      <c r="K178" s="59"/>
      <c r="L178" s="41"/>
      <c r="M178" s="41"/>
      <c r="N178" s="59"/>
      <c r="O178" s="59"/>
      <c r="P178" s="59"/>
      <c r="Q178" s="59"/>
      <c r="R178" s="58"/>
    </row>
    <row r="179" spans="1:18" x14ac:dyDescent="0.2">
      <c r="A179" s="26"/>
      <c r="B179" s="27"/>
      <c r="C179" s="51"/>
      <c r="D179" s="59"/>
      <c r="E179" s="59"/>
      <c r="K179" s="59"/>
      <c r="L179" s="41"/>
      <c r="M179" s="41"/>
      <c r="N179" s="59"/>
      <c r="O179" s="59"/>
      <c r="P179" s="59"/>
      <c r="Q179" s="59"/>
      <c r="R179" s="58"/>
    </row>
    <row r="180" spans="1:18" x14ac:dyDescent="0.2">
      <c r="A180" s="26"/>
      <c r="B180" s="14" t="s">
        <v>100</v>
      </c>
      <c r="C180" s="51"/>
      <c r="D180" s="59"/>
      <c r="E180" s="59"/>
      <c r="F180" s="65"/>
      <c r="G180" s="65"/>
      <c r="H180" s="65"/>
      <c r="I180" s="66"/>
      <c r="J180" s="66"/>
      <c r="K180" s="59"/>
      <c r="L180" s="41"/>
      <c r="M180" s="41"/>
      <c r="N180" s="59"/>
      <c r="O180" s="59"/>
      <c r="P180" s="59"/>
      <c r="Q180" s="59"/>
      <c r="R180" s="58"/>
    </row>
    <row r="181" spans="1:18" x14ac:dyDescent="0.2">
      <c r="A181" s="26"/>
      <c r="B181" s="27" t="s">
        <v>101</v>
      </c>
      <c r="C181" s="51">
        <v>10122.959999999999</v>
      </c>
      <c r="D181" s="59">
        <v>10123</v>
      </c>
      <c r="E181" s="67">
        <v>10123</v>
      </c>
      <c r="F181" s="74">
        <v>10123</v>
      </c>
      <c r="G181" s="74">
        <v>10122.959999999999</v>
      </c>
      <c r="H181" s="74">
        <v>10223.879999999999</v>
      </c>
      <c r="I181" s="84">
        <v>8926</v>
      </c>
      <c r="J181" s="84">
        <v>10062</v>
      </c>
      <c r="K181" s="95">
        <v>8601.18</v>
      </c>
      <c r="L181" s="95">
        <v>10223.879999999999</v>
      </c>
      <c r="M181" s="95">
        <v>10223.879999999999</v>
      </c>
      <c r="N181" s="95">
        <v>10224</v>
      </c>
      <c r="O181" s="95">
        <v>10224</v>
      </c>
      <c r="P181" s="95">
        <v>10224</v>
      </c>
      <c r="Q181" s="95"/>
      <c r="R181" s="96"/>
    </row>
    <row r="182" spans="1:18" x14ac:dyDescent="0.2">
      <c r="A182" s="26"/>
      <c r="B182" s="27" t="s">
        <v>102</v>
      </c>
      <c r="C182" s="51">
        <v>315484.68</v>
      </c>
      <c r="D182" s="59">
        <v>339932</v>
      </c>
      <c r="E182" s="67">
        <v>369862</v>
      </c>
      <c r="F182" s="74">
        <v>412051.59</v>
      </c>
      <c r="G182" s="74">
        <v>426351.62</v>
      </c>
      <c r="H182" s="74">
        <f>357695.94+145511.71</f>
        <v>503207.65</v>
      </c>
      <c r="I182" s="84">
        <f>352516.2+123717.24+14005.65</f>
        <v>490239.09</v>
      </c>
      <c r="J182" s="84">
        <v>502983</v>
      </c>
      <c r="K182" s="95">
        <f>358737.29+181053.46+4961.83</f>
        <v>544752.57999999996</v>
      </c>
      <c r="L182" s="95">
        <v>562347.17000000004</v>
      </c>
      <c r="M182" s="95">
        <v>562347.17000000004</v>
      </c>
      <c r="N182" s="95">
        <v>581788</v>
      </c>
      <c r="O182" s="95">
        <v>573809</v>
      </c>
      <c r="P182" s="95">
        <v>573809</v>
      </c>
      <c r="Q182" s="95"/>
      <c r="R182" s="96"/>
    </row>
    <row r="183" spans="1:18" x14ac:dyDescent="0.2">
      <c r="A183" s="26"/>
      <c r="B183" s="27" t="s">
        <v>103</v>
      </c>
      <c r="C183" s="51">
        <v>9386567.1999999993</v>
      </c>
      <c r="D183" s="59">
        <v>9986342</v>
      </c>
      <c r="E183" s="67">
        <v>10634670</v>
      </c>
      <c r="F183" s="74">
        <v>11585704.25</v>
      </c>
      <c r="G183" s="74">
        <f>10166364.02+698490.67+528271.66+102566.97+393069.28+15435.34+6994.2</f>
        <v>11911192.139999999</v>
      </c>
      <c r="H183" s="74">
        <f>10310064.34+490900.25</f>
        <v>10800964.59</v>
      </c>
      <c r="I183" s="84">
        <f>10656941.21+781481.94+563504.36+159801.37</f>
        <v>12161728.879999999</v>
      </c>
      <c r="J183" s="84">
        <v>11941584</v>
      </c>
      <c r="K183" s="95">
        <f>10854936.43+809266.31+538685.15+21058.51</f>
        <v>12223946.4</v>
      </c>
      <c r="L183" s="95">
        <v>12690739.65</v>
      </c>
      <c r="M183" s="95">
        <v>12690739.65</v>
      </c>
      <c r="N183" s="95">
        <v>14027616</v>
      </c>
      <c r="O183" s="95">
        <v>14347547</v>
      </c>
      <c r="P183" s="95">
        <v>14347547</v>
      </c>
      <c r="Q183" s="95"/>
      <c r="R183" s="96"/>
    </row>
    <row r="184" spans="1:18" x14ac:dyDescent="0.2">
      <c r="A184" s="26"/>
      <c r="B184" s="27" t="s">
        <v>104</v>
      </c>
      <c r="C184" s="51">
        <v>954127.96</v>
      </c>
      <c r="D184" s="59">
        <v>1111825</v>
      </c>
      <c r="E184" s="67">
        <v>1100491</v>
      </c>
      <c r="F184" s="74">
        <v>1246236.48</v>
      </c>
      <c r="G184" s="74">
        <f>968315.3+97458.07+2903</f>
        <v>1068676.3700000001</v>
      </c>
      <c r="H184" s="74">
        <f>407799.99+495322.06</f>
        <v>903122.05</v>
      </c>
      <c r="I184" s="84">
        <f>418117.06+17947.98+963701.28+98947.75</f>
        <v>1498714.07</v>
      </c>
      <c r="J184" s="84">
        <v>1611212</v>
      </c>
      <c r="K184" s="95">
        <f>388041.38+13769.11+1279082.05+3398.18</f>
        <v>1684290.72</v>
      </c>
      <c r="L184" s="95">
        <v>1851600.89</v>
      </c>
      <c r="M184" s="95">
        <v>1851600.89</v>
      </c>
      <c r="N184" s="95">
        <v>1864051</v>
      </c>
      <c r="O184" s="95">
        <v>1998384</v>
      </c>
      <c r="P184" s="95">
        <v>1998384</v>
      </c>
      <c r="Q184" s="95"/>
      <c r="R184" s="96"/>
    </row>
    <row r="185" spans="1:18" x14ac:dyDescent="0.2">
      <c r="A185" s="26"/>
      <c r="B185" s="27" t="s">
        <v>105</v>
      </c>
      <c r="C185" s="51">
        <v>1136027.3899999999</v>
      </c>
      <c r="D185" s="59">
        <v>1315897</v>
      </c>
      <c r="E185" s="67">
        <v>1742972</v>
      </c>
      <c r="F185" s="74">
        <v>1783276.63</v>
      </c>
      <c r="G185" s="74">
        <f>1042195.64+34172.41+730908.11+460</f>
        <v>1807736.1600000001</v>
      </c>
      <c r="H185" s="74">
        <f>782479.76+1108767.93</f>
        <v>1891247.69</v>
      </c>
      <c r="I185" s="84">
        <f>767729+1112653.33+82509.63</f>
        <v>1962891.96</v>
      </c>
      <c r="J185" s="84">
        <v>1806432</v>
      </c>
      <c r="K185" s="95">
        <f>750422.08+1036379.24+50366.24</f>
        <v>1837167.5599999998</v>
      </c>
      <c r="L185" s="95">
        <v>1859724.56</v>
      </c>
      <c r="M185" s="95">
        <v>1859724.56</v>
      </c>
      <c r="N185" s="95">
        <v>1805403</v>
      </c>
      <c r="O185" s="95">
        <v>1805196</v>
      </c>
      <c r="P185" s="95">
        <v>1805196</v>
      </c>
      <c r="Q185" s="95"/>
      <c r="R185" s="96"/>
    </row>
    <row r="186" spans="1:18" x14ac:dyDescent="0.2">
      <c r="A186" s="26"/>
      <c r="B186" s="27" t="s">
        <v>106</v>
      </c>
      <c r="C186" s="51">
        <v>31374</v>
      </c>
      <c r="D186" s="59">
        <v>32050</v>
      </c>
      <c r="E186" s="67">
        <v>14170</v>
      </c>
      <c r="F186" s="74">
        <v>14440.41</v>
      </c>
      <c r="G186" s="74">
        <v>11836.02</v>
      </c>
      <c r="H186" s="74">
        <v>0</v>
      </c>
      <c r="I186" s="84">
        <v>0</v>
      </c>
      <c r="J186" s="84">
        <v>0</v>
      </c>
      <c r="K186" s="95">
        <v>0</v>
      </c>
      <c r="L186" s="95">
        <v>0</v>
      </c>
      <c r="M186" s="95">
        <v>0</v>
      </c>
      <c r="N186" s="95">
        <v>0</v>
      </c>
      <c r="O186" s="95">
        <v>0</v>
      </c>
      <c r="P186" s="95">
        <v>0</v>
      </c>
      <c r="Q186" s="95"/>
      <c r="R186" s="96"/>
    </row>
    <row r="187" spans="1:18" x14ac:dyDescent="0.2">
      <c r="A187" s="26"/>
      <c r="B187" s="27" t="s">
        <v>107</v>
      </c>
      <c r="C187" s="51">
        <v>574531</v>
      </c>
      <c r="D187" s="59">
        <v>563400</v>
      </c>
      <c r="E187" s="67">
        <v>493192</v>
      </c>
      <c r="F187" s="74">
        <v>420062.76</v>
      </c>
      <c r="G187" s="74">
        <f>780612.28+15591.95</f>
        <v>796204.23</v>
      </c>
      <c r="H187" s="74">
        <v>624938.15</v>
      </c>
      <c r="I187" s="84">
        <f>619566.01+290929.19</f>
        <v>910495.2</v>
      </c>
      <c r="J187" s="84">
        <v>956170</v>
      </c>
      <c r="K187" s="95">
        <v>1039718.73</v>
      </c>
      <c r="L187" s="95">
        <v>988674.34</v>
      </c>
      <c r="M187" s="95">
        <v>988674.34</v>
      </c>
      <c r="N187" s="95">
        <v>974279</v>
      </c>
      <c r="O187" s="95">
        <v>1276690</v>
      </c>
      <c r="P187" s="95">
        <v>1276690</v>
      </c>
      <c r="Q187" s="95"/>
      <c r="R187" s="96"/>
    </row>
    <row r="188" spans="1:18" x14ac:dyDescent="0.2">
      <c r="A188" s="26"/>
      <c r="B188" s="27" t="s">
        <v>108</v>
      </c>
      <c r="C188" s="51"/>
      <c r="D188" s="59">
        <v>75807</v>
      </c>
      <c r="G188" s="74">
        <v>0</v>
      </c>
      <c r="H188" s="74">
        <v>0</v>
      </c>
      <c r="I188" s="84">
        <v>9652</v>
      </c>
      <c r="J188" s="84">
        <v>0</v>
      </c>
      <c r="K188" s="95">
        <v>0</v>
      </c>
      <c r="L188" s="95">
        <v>0</v>
      </c>
      <c r="M188" s="95">
        <v>0</v>
      </c>
      <c r="N188" s="95">
        <v>0</v>
      </c>
      <c r="O188" s="95">
        <v>0</v>
      </c>
      <c r="P188" s="95">
        <v>0</v>
      </c>
      <c r="Q188" s="95"/>
      <c r="R188" s="96"/>
    </row>
    <row r="189" spans="1:18" x14ac:dyDescent="0.2">
      <c r="A189" s="26"/>
      <c r="B189" s="27" t="s">
        <v>109</v>
      </c>
      <c r="C189" s="51">
        <v>75327.5</v>
      </c>
      <c r="D189" s="59">
        <v>14213</v>
      </c>
      <c r="E189" s="67">
        <v>83329</v>
      </c>
      <c r="F189" s="74">
        <v>90174.44</v>
      </c>
      <c r="G189" s="74">
        <v>97479.39</v>
      </c>
      <c r="H189" s="74">
        <v>103332.56</v>
      </c>
      <c r="I189" s="84">
        <f>106534.5+200</f>
        <v>106734.5</v>
      </c>
      <c r="J189" s="84">
        <v>106790</v>
      </c>
      <c r="K189" s="95">
        <v>106790</v>
      </c>
      <c r="L189" s="95">
        <v>122425</v>
      </c>
      <c r="M189" s="95">
        <v>122425</v>
      </c>
      <c r="N189" s="95">
        <v>148221</v>
      </c>
      <c r="O189" s="95">
        <v>160650</v>
      </c>
      <c r="P189" s="95">
        <v>160650</v>
      </c>
      <c r="Q189" s="95"/>
      <c r="R189" s="96"/>
    </row>
    <row r="190" spans="1:18" x14ac:dyDescent="0.2">
      <c r="A190" s="26"/>
      <c r="B190" s="27" t="s">
        <v>110</v>
      </c>
      <c r="C190" s="51">
        <v>13758.65</v>
      </c>
      <c r="D190" s="59">
        <v>0</v>
      </c>
      <c r="E190" s="67">
        <v>13843</v>
      </c>
      <c r="F190" s="74">
        <v>14379.97</v>
      </c>
      <c r="G190" s="74">
        <f>6030.56+107.69+6864.84</f>
        <v>13003.09</v>
      </c>
      <c r="H190" s="74">
        <f>90.42+14464.39</f>
        <v>14554.81</v>
      </c>
      <c r="I190" s="84">
        <f>5530.3+897</f>
        <v>6427.3</v>
      </c>
      <c r="J190" s="84">
        <v>6604</v>
      </c>
      <c r="K190" s="95">
        <v>6450</v>
      </c>
      <c r="L190" s="95">
        <v>6450</v>
      </c>
      <c r="M190" s="95">
        <v>6450</v>
      </c>
      <c r="N190" s="95">
        <v>7200</v>
      </c>
      <c r="O190" s="95">
        <v>7200</v>
      </c>
      <c r="P190" s="95">
        <v>7200</v>
      </c>
      <c r="Q190" s="95"/>
      <c r="R190" s="96"/>
    </row>
    <row r="191" spans="1:18" x14ac:dyDescent="0.2">
      <c r="A191" s="26"/>
      <c r="B191" s="27" t="s">
        <v>68</v>
      </c>
      <c r="C191" s="90"/>
      <c r="D191" s="59"/>
      <c r="E191" s="59">
        <v>12066</v>
      </c>
      <c r="F191" s="65">
        <v>12065.68</v>
      </c>
      <c r="G191" s="65">
        <v>23817.96</v>
      </c>
      <c r="H191" s="65">
        <v>11544.44</v>
      </c>
      <c r="I191" s="66">
        <v>0</v>
      </c>
      <c r="J191" s="66">
        <v>0</v>
      </c>
      <c r="K191" s="97">
        <v>0</v>
      </c>
      <c r="L191" s="97">
        <v>0</v>
      </c>
      <c r="M191" s="97">
        <v>0</v>
      </c>
      <c r="N191" s="98">
        <v>8377</v>
      </c>
      <c r="O191" s="98">
        <v>8377</v>
      </c>
      <c r="P191" s="98">
        <v>8377</v>
      </c>
      <c r="Q191" s="98"/>
      <c r="R191" s="99"/>
    </row>
    <row r="192" spans="1:18" x14ac:dyDescent="0.2">
      <c r="B192" s="20" t="s">
        <v>175</v>
      </c>
      <c r="C192" s="71"/>
      <c r="D192" s="71"/>
      <c r="E192" s="70"/>
      <c r="F192" s="71"/>
      <c r="G192" s="71"/>
      <c r="H192" s="71">
        <v>0</v>
      </c>
      <c r="I192" s="72">
        <v>0</v>
      </c>
      <c r="J192" s="72">
        <v>0</v>
      </c>
      <c r="K192" s="100"/>
      <c r="L192" s="100">
        <v>0</v>
      </c>
      <c r="M192" s="100">
        <v>0</v>
      </c>
      <c r="N192" s="100"/>
      <c r="O192" s="101">
        <v>-93027</v>
      </c>
      <c r="P192" s="101">
        <v>-93027</v>
      </c>
      <c r="Q192" s="101"/>
      <c r="R192" s="99"/>
    </row>
    <row r="193" spans="1:24" x14ac:dyDescent="0.2">
      <c r="B193" s="20" t="s">
        <v>201</v>
      </c>
      <c r="C193" s="71"/>
      <c r="D193" s="71"/>
      <c r="E193" s="70"/>
      <c r="F193" s="71"/>
      <c r="G193" s="71"/>
      <c r="H193" s="71">
        <v>0</v>
      </c>
      <c r="I193" s="72">
        <v>0</v>
      </c>
      <c r="J193" s="72">
        <v>0</v>
      </c>
      <c r="K193" s="100"/>
      <c r="L193" s="100">
        <v>0</v>
      </c>
      <c r="M193" s="100">
        <v>0</v>
      </c>
      <c r="N193" s="101">
        <v>-294000</v>
      </c>
      <c r="O193" s="101"/>
      <c r="P193" s="101">
        <v>-210000</v>
      </c>
      <c r="Q193" s="101"/>
      <c r="R193" s="99"/>
    </row>
    <row r="194" spans="1:24" x14ac:dyDescent="0.2">
      <c r="A194" s="26">
        <v>25</v>
      </c>
      <c r="B194" s="14" t="s">
        <v>111</v>
      </c>
      <c r="C194" s="102">
        <f>SUM(C181:C191)</f>
        <v>12497321.340000002</v>
      </c>
      <c r="D194" s="85">
        <f>SUM(D181:D191)</f>
        <v>13449589</v>
      </c>
      <c r="E194" s="103">
        <f>SUM(E181:E191)</f>
        <v>14474718</v>
      </c>
      <c r="F194" s="104">
        <f>SUM(F181:F191)</f>
        <v>15588515.209999999</v>
      </c>
      <c r="G194" s="104">
        <f>SUM(G181:G191)</f>
        <v>16166419.940000001</v>
      </c>
      <c r="H194" s="103">
        <f t="shared" ref="H194:Q194" si="32">SUM(H181:H193)</f>
        <v>14863135.82</v>
      </c>
      <c r="I194" s="105">
        <f t="shared" si="32"/>
        <v>17155809</v>
      </c>
      <c r="J194" s="105">
        <f t="shared" si="32"/>
        <v>16941837</v>
      </c>
      <c r="K194" s="103">
        <f t="shared" si="32"/>
        <v>17451717.170000002</v>
      </c>
      <c r="L194" s="103">
        <f t="shared" si="32"/>
        <v>18092185.490000002</v>
      </c>
      <c r="M194" s="103">
        <f t="shared" si="32"/>
        <v>18092185.490000002</v>
      </c>
      <c r="N194" s="103">
        <f t="shared" si="32"/>
        <v>19133159</v>
      </c>
      <c r="O194" s="85">
        <f t="shared" si="32"/>
        <v>20095050</v>
      </c>
      <c r="P194" s="85">
        <f t="shared" si="32"/>
        <v>19885050</v>
      </c>
      <c r="Q194" s="85">
        <f t="shared" si="32"/>
        <v>0</v>
      </c>
      <c r="R194" s="63">
        <f>O194-N194</f>
        <v>961891</v>
      </c>
      <c r="S194" s="64">
        <f>R194/N194</f>
        <v>5.0273506847457863E-2</v>
      </c>
      <c r="T194" s="22">
        <f>SUM(L194-K194)/K194</f>
        <v>3.6699444172805157E-2</v>
      </c>
      <c r="V194" s="32"/>
      <c r="W194" s="63">
        <f>P194-N194</f>
        <v>751891</v>
      </c>
      <c r="X194" s="64">
        <f>W194/N194</f>
        <v>3.9297797086199932E-2</v>
      </c>
    </row>
    <row r="195" spans="1:24" x14ac:dyDescent="0.2">
      <c r="A195" s="26"/>
      <c r="B195" s="14"/>
      <c r="C195" s="102"/>
      <c r="D195" s="85"/>
      <c r="E195" s="103"/>
      <c r="F195" s="104"/>
      <c r="G195" s="104"/>
      <c r="H195" s="104"/>
      <c r="I195" s="106"/>
      <c r="J195" s="106"/>
      <c r="K195" s="21"/>
      <c r="L195" s="87"/>
      <c r="M195" s="87"/>
      <c r="N195" s="103"/>
      <c r="O195" s="60"/>
      <c r="P195" s="60"/>
      <c r="Q195" s="103"/>
      <c r="R195" s="105"/>
    </row>
    <row r="196" spans="1:24" x14ac:dyDescent="0.2">
      <c r="A196" s="26"/>
      <c r="B196" s="14"/>
      <c r="C196" s="90"/>
      <c r="D196" s="59"/>
      <c r="E196" s="59"/>
      <c r="K196" s="59"/>
      <c r="L196" s="41"/>
      <c r="M196" s="41"/>
      <c r="N196" s="41"/>
      <c r="O196" s="41"/>
      <c r="P196" s="41"/>
      <c r="Q196" s="41"/>
      <c r="R196" s="69"/>
    </row>
    <row r="197" spans="1:24" x14ac:dyDescent="0.2">
      <c r="A197" s="26"/>
      <c r="B197" s="14" t="s">
        <v>112</v>
      </c>
      <c r="C197" s="90"/>
      <c r="D197" s="59"/>
      <c r="E197" s="59"/>
      <c r="F197" s="65"/>
      <c r="G197" s="65"/>
      <c r="H197" s="65"/>
      <c r="I197" s="66"/>
      <c r="J197" s="66"/>
      <c r="K197" s="59" t="s">
        <v>38</v>
      </c>
      <c r="L197" s="41" t="s">
        <v>38</v>
      </c>
      <c r="M197" s="41" t="s">
        <v>38</v>
      </c>
      <c r="N197" s="59" t="s">
        <v>38</v>
      </c>
      <c r="O197" s="59" t="s">
        <v>38</v>
      </c>
      <c r="P197" s="59" t="s">
        <v>38</v>
      </c>
      <c r="Q197" s="59"/>
      <c r="R197" s="58"/>
    </row>
    <row r="198" spans="1:24" x14ac:dyDescent="0.2">
      <c r="A198" s="26"/>
      <c r="B198" s="27" t="s">
        <v>113</v>
      </c>
      <c r="C198" s="51">
        <v>351519</v>
      </c>
      <c r="D198" s="59">
        <v>413836</v>
      </c>
      <c r="E198" s="65">
        <v>587033</v>
      </c>
      <c r="F198" s="65">
        <v>727638</v>
      </c>
      <c r="G198" s="65">
        <v>731258</v>
      </c>
      <c r="H198" s="65">
        <v>715818</v>
      </c>
      <c r="I198" s="66">
        <v>710525</v>
      </c>
      <c r="J198" s="66">
        <v>721381</v>
      </c>
      <c r="K198" s="97">
        <v>640474</v>
      </c>
      <c r="L198" s="97">
        <v>642883</v>
      </c>
      <c r="M198" s="97">
        <v>642883</v>
      </c>
      <c r="N198" s="97">
        <v>748647</v>
      </c>
      <c r="O198" s="97">
        <v>750000</v>
      </c>
      <c r="P198" s="97">
        <v>763025</v>
      </c>
      <c r="Q198" s="97"/>
      <c r="R198" s="99"/>
    </row>
    <row r="199" spans="1:24" x14ac:dyDescent="0.2">
      <c r="A199" s="26"/>
      <c r="B199" s="27" t="s">
        <v>114</v>
      </c>
      <c r="C199" s="51">
        <v>78008</v>
      </c>
      <c r="D199" s="59">
        <v>78008</v>
      </c>
      <c r="E199" s="65">
        <v>49579</v>
      </c>
      <c r="F199" s="65">
        <v>56431</v>
      </c>
      <c r="G199" s="65">
        <v>55693</v>
      </c>
      <c r="H199" s="65">
        <v>54709</v>
      </c>
      <c r="I199" s="66">
        <v>53725</v>
      </c>
      <c r="J199" s="66">
        <v>52659</v>
      </c>
      <c r="K199" s="97">
        <v>51152</v>
      </c>
      <c r="L199" s="97">
        <v>50018</v>
      </c>
      <c r="M199" s="97">
        <v>50018</v>
      </c>
      <c r="N199" s="97">
        <v>47628</v>
      </c>
      <c r="O199" s="97">
        <v>47628</v>
      </c>
      <c r="P199" s="97">
        <v>42272</v>
      </c>
      <c r="Q199" s="97"/>
      <c r="R199" s="99"/>
    </row>
    <row r="200" spans="1:24" x14ac:dyDescent="0.2">
      <c r="A200" s="26"/>
      <c r="B200" s="27" t="s">
        <v>115</v>
      </c>
      <c r="C200" s="51">
        <v>1928</v>
      </c>
      <c r="D200" s="59">
        <v>1928</v>
      </c>
      <c r="E200" s="65">
        <v>1928</v>
      </c>
      <c r="F200" s="65">
        <v>1928</v>
      </c>
      <c r="G200" s="65">
        <v>1928</v>
      </c>
      <c r="H200" s="65">
        <v>1928</v>
      </c>
      <c r="I200" s="66">
        <v>1928</v>
      </c>
      <c r="J200" s="66">
        <v>1928</v>
      </c>
      <c r="K200" s="97">
        <v>1928</v>
      </c>
      <c r="L200" s="97">
        <v>1928</v>
      </c>
      <c r="M200" s="97">
        <v>1928</v>
      </c>
      <c r="N200" s="97">
        <v>1928</v>
      </c>
      <c r="O200" s="97">
        <v>1928</v>
      </c>
      <c r="P200" s="97">
        <v>1928</v>
      </c>
      <c r="Q200" s="97"/>
      <c r="R200" s="99"/>
    </row>
    <row r="201" spans="1:24" x14ac:dyDescent="0.2">
      <c r="A201" s="26"/>
      <c r="B201" s="27" t="s">
        <v>67</v>
      </c>
      <c r="C201" s="90">
        <v>500</v>
      </c>
      <c r="D201" s="59">
        <v>500</v>
      </c>
      <c r="E201" s="65">
        <v>500</v>
      </c>
      <c r="F201" s="65">
        <v>500</v>
      </c>
      <c r="G201" s="65">
        <v>500</v>
      </c>
      <c r="H201" s="65">
        <v>500</v>
      </c>
      <c r="I201" s="66">
        <v>500</v>
      </c>
      <c r="J201" s="66">
        <v>500</v>
      </c>
      <c r="K201" s="97">
        <v>500</v>
      </c>
      <c r="L201" s="97">
        <v>500</v>
      </c>
      <c r="M201" s="97">
        <v>500</v>
      </c>
      <c r="N201" s="97">
        <v>500</v>
      </c>
      <c r="O201" s="97">
        <v>500</v>
      </c>
      <c r="P201" s="97">
        <v>500</v>
      </c>
      <c r="Q201" s="97"/>
      <c r="R201" s="99"/>
      <c r="W201" s="33"/>
    </row>
    <row r="202" spans="1:24" x14ac:dyDescent="0.2">
      <c r="A202" s="26"/>
      <c r="B202" s="27" t="s">
        <v>173</v>
      </c>
      <c r="C202" s="56"/>
      <c r="D202" s="70">
        <f>SUM(D198:D201)</f>
        <v>494272</v>
      </c>
      <c r="E202" s="70"/>
      <c r="F202" s="71"/>
      <c r="G202" s="71"/>
      <c r="H202" s="71">
        <v>0</v>
      </c>
      <c r="I202" s="72">
        <v>0</v>
      </c>
      <c r="J202" s="72">
        <v>0</v>
      </c>
      <c r="K202" s="101">
        <v>0</v>
      </c>
      <c r="L202" s="101">
        <v>44594</v>
      </c>
      <c r="M202" s="101">
        <v>44594</v>
      </c>
      <c r="N202" s="101">
        <v>46000</v>
      </c>
      <c r="O202" s="101">
        <v>24000</v>
      </c>
      <c r="P202" s="101">
        <v>24000</v>
      </c>
      <c r="Q202" s="101"/>
      <c r="R202" s="99"/>
    </row>
    <row r="203" spans="1:24" x14ac:dyDescent="0.2">
      <c r="A203" s="26">
        <v>26</v>
      </c>
      <c r="B203" s="14" t="s">
        <v>116</v>
      </c>
      <c r="C203" s="88">
        <f>SUM(C198:C201)</f>
        <v>431955</v>
      </c>
      <c r="D203" s="85">
        <f>SUM(D202:D202)</f>
        <v>494272</v>
      </c>
      <c r="E203" s="103">
        <f t="shared" ref="E203:N203" si="33">SUM(E198:E202)</f>
        <v>639040</v>
      </c>
      <c r="F203" s="104">
        <f t="shared" si="33"/>
        <v>786497</v>
      </c>
      <c r="G203" s="104">
        <f t="shared" si="33"/>
        <v>789379</v>
      </c>
      <c r="H203" s="103">
        <f t="shared" si="33"/>
        <v>772955</v>
      </c>
      <c r="I203" s="105">
        <f t="shared" si="33"/>
        <v>766678</v>
      </c>
      <c r="J203" s="105">
        <f t="shared" si="33"/>
        <v>776468</v>
      </c>
      <c r="K203" s="103">
        <f t="shared" si="33"/>
        <v>694054</v>
      </c>
      <c r="L203" s="87">
        <f t="shared" si="33"/>
        <v>739923</v>
      </c>
      <c r="M203" s="87">
        <f>SUM(M198:M202)</f>
        <v>739923</v>
      </c>
      <c r="N203" s="103">
        <f t="shared" si="33"/>
        <v>844703</v>
      </c>
      <c r="O203" s="85">
        <f>SUM(O198:O202)</f>
        <v>824056</v>
      </c>
      <c r="P203" s="85">
        <f>SUM(P198:P202)</f>
        <v>831725</v>
      </c>
      <c r="Q203" s="85">
        <f>SUM(Q198:Q202)</f>
        <v>0</v>
      </c>
      <c r="R203" s="63">
        <f>O203-N203</f>
        <v>-20647</v>
      </c>
      <c r="S203" s="64">
        <f>R203/N203</f>
        <v>-2.4442910703525382E-2</v>
      </c>
      <c r="W203" s="63">
        <f>P203-N203</f>
        <v>-12978</v>
      </c>
      <c r="X203" s="64">
        <f>W203/N203</f>
        <v>-1.5363980002438727E-2</v>
      </c>
    </row>
    <row r="204" spans="1:24" x14ac:dyDescent="0.2">
      <c r="A204" s="26"/>
      <c r="B204" s="27"/>
      <c r="C204" s="51"/>
      <c r="D204" s="59"/>
      <c r="E204" s="59"/>
      <c r="F204" s="65"/>
      <c r="G204" s="65"/>
      <c r="H204" s="65"/>
      <c r="I204" s="66"/>
      <c r="J204" s="66"/>
      <c r="K204" s="59"/>
      <c r="L204" s="41"/>
      <c r="M204" s="41"/>
      <c r="N204" s="59"/>
      <c r="O204" s="59"/>
      <c r="P204" s="59"/>
      <c r="Q204" s="59"/>
      <c r="R204" s="58"/>
      <c r="W204" s="33"/>
    </row>
    <row r="205" spans="1:24" x14ac:dyDescent="0.2">
      <c r="A205" s="26"/>
      <c r="B205" s="14" t="s">
        <v>117</v>
      </c>
      <c r="C205" s="85">
        <f t="shared" ref="C205:L205" si="34">SUM(C203,C194)</f>
        <v>12929276.340000002</v>
      </c>
      <c r="D205" s="85">
        <f t="shared" si="34"/>
        <v>13943861</v>
      </c>
      <c r="E205" s="85">
        <f t="shared" si="34"/>
        <v>15113758</v>
      </c>
      <c r="F205" s="86">
        <f t="shared" si="34"/>
        <v>16375012.209999999</v>
      </c>
      <c r="G205" s="86">
        <f t="shared" si="34"/>
        <v>16955798.940000001</v>
      </c>
      <c r="H205" s="85">
        <f t="shared" si="34"/>
        <v>15636090.82</v>
      </c>
      <c r="I205" s="63">
        <f t="shared" si="34"/>
        <v>17922487</v>
      </c>
      <c r="J205" s="63">
        <f t="shared" si="34"/>
        <v>17718305</v>
      </c>
      <c r="K205" s="85">
        <f t="shared" si="34"/>
        <v>18145771.170000002</v>
      </c>
      <c r="L205" s="85">
        <f t="shared" si="34"/>
        <v>18832108.490000002</v>
      </c>
      <c r="M205" s="85">
        <f>SUM(M203,M194)</f>
        <v>18832108.490000002</v>
      </c>
      <c r="N205" s="85">
        <f>SUM(N203,N194,N195)</f>
        <v>19977862</v>
      </c>
      <c r="O205" s="85">
        <f>SUM(O203,O194,O195)</f>
        <v>20919106</v>
      </c>
      <c r="P205" s="85">
        <f>SUM(P203,P194,P195)</f>
        <v>20716775</v>
      </c>
      <c r="Q205" s="85">
        <f>SUM(Q203,Q194,Q195)</f>
        <v>0</v>
      </c>
      <c r="R205" s="63">
        <f>P205-N205</f>
        <v>738913</v>
      </c>
      <c r="S205" s="64">
        <f>R205/N205</f>
        <v>3.6986590456976831E-2</v>
      </c>
      <c r="V205" s="20" t="b">
        <f>R205=SUM(R194+R203)</f>
        <v>0</v>
      </c>
      <c r="W205" s="63">
        <f>P205-N205</f>
        <v>738913</v>
      </c>
      <c r="X205" s="64">
        <f>W205/N205</f>
        <v>3.6986590456976831E-2</v>
      </c>
    </row>
    <row r="206" spans="1:24" x14ac:dyDescent="0.2">
      <c r="A206" s="26"/>
      <c r="B206" s="14"/>
      <c r="C206" s="88"/>
      <c r="D206" s="85"/>
      <c r="E206" s="85"/>
      <c r="K206" s="85"/>
      <c r="L206" s="41"/>
      <c r="M206" s="41"/>
      <c r="N206" s="41"/>
      <c r="O206" s="41"/>
      <c r="P206" s="41"/>
      <c r="Q206" s="41"/>
      <c r="R206" s="69"/>
      <c r="W206" s="33"/>
    </row>
    <row r="207" spans="1:24" x14ac:dyDescent="0.2">
      <c r="A207" s="26"/>
      <c r="B207" s="14" t="s">
        <v>118</v>
      </c>
      <c r="C207" s="88"/>
      <c r="D207" s="85" t="s">
        <v>38</v>
      </c>
      <c r="E207" s="59" t="s">
        <v>38</v>
      </c>
      <c r="K207" s="59"/>
      <c r="L207" s="41"/>
      <c r="M207" s="41"/>
      <c r="N207" s="59"/>
      <c r="O207" s="59"/>
      <c r="P207" s="59"/>
      <c r="Q207" s="59"/>
      <c r="R207" s="58"/>
    </row>
    <row r="208" spans="1:24" x14ac:dyDescent="0.2">
      <c r="A208" s="26"/>
      <c r="B208" s="27"/>
      <c r="C208" s="51"/>
      <c r="D208" s="59"/>
      <c r="E208" s="59"/>
      <c r="K208" s="59"/>
      <c r="L208" s="41"/>
      <c r="M208" s="41"/>
      <c r="N208" s="59"/>
      <c r="O208" s="59"/>
      <c r="P208" s="59"/>
      <c r="Q208" s="59"/>
      <c r="R208" s="58"/>
    </row>
    <row r="209" spans="1:24" x14ac:dyDescent="0.2">
      <c r="A209" s="26"/>
      <c r="B209" s="14" t="s">
        <v>119</v>
      </c>
      <c r="C209" s="51"/>
      <c r="D209" s="59"/>
      <c r="E209" s="59"/>
      <c r="K209" s="59"/>
      <c r="L209" s="41"/>
      <c r="M209" s="41"/>
      <c r="N209" s="59"/>
      <c r="O209" s="59"/>
      <c r="P209" s="59"/>
      <c r="Q209" s="59"/>
      <c r="R209" s="58"/>
    </row>
    <row r="210" spans="1:24" x14ac:dyDescent="0.2">
      <c r="A210" s="26"/>
      <c r="B210" s="27" t="s">
        <v>64</v>
      </c>
      <c r="C210" s="51">
        <v>91340.52</v>
      </c>
      <c r="D210" s="51">
        <v>96170</v>
      </c>
      <c r="E210" s="51">
        <v>95424</v>
      </c>
      <c r="F210" s="51">
        <v>98976.66</v>
      </c>
      <c r="G210" s="51">
        <v>100335.25</v>
      </c>
      <c r="H210" s="51">
        <f>82969.71+35188.04+0+400</f>
        <v>118557.75</v>
      </c>
      <c r="I210" s="68">
        <v>116355</v>
      </c>
      <c r="J210" s="68">
        <v>107697</v>
      </c>
      <c r="K210" s="51">
        <v>90000</v>
      </c>
      <c r="L210" s="41">
        <f>[28]Cover!$B$12</f>
        <v>92700</v>
      </c>
      <c r="M210" s="41">
        <f>[28]Cover!$B$12</f>
        <v>92700</v>
      </c>
      <c r="N210" s="59">
        <f>[28]Cover!$C$12</f>
        <v>94000</v>
      </c>
      <c r="O210" s="59">
        <f>[28]Cover!$D$12</f>
        <v>110911</v>
      </c>
      <c r="P210" s="59">
        <f>[28]Cover!$E$12</f>
        <v>107806</v>
      </c>
      <c r="Q210" s="59">
        <v>0</v>
      </c>
      <c r="R210" s="58"/>
    </row>
    <row r="211" spans="1:24" x14ac:dyDescent="0.2">
      <c r="A211" s="26"/>
      <c r="B211" s="27" t="s">
        <v>67</v>
      </c>
      <c r="C211" s="51">
        <f>630.63+288.61+1755.26</f>
        <v>2674.5</v>
      </c>
      <c r="D211" s="59">
        <v>2500</v>
      </c>
      <c r="E211" s="59">
        <v>5835</v>
      </c>
      <c r="F211" s="65">
        <v>5960.61</v>
      </c>
      <c r="G211" s="65">
        <f>3025.8+1863.46+289.06+150</f>
        <v>5328.3200000000006</v>
      </c>
      <c r="H211" s="65">
        <f>121500.82-H210-H212</f>
        <v>2943.070000000007</v>
      </c>
      <c r="I211" s="66">
        <v>6545</v>
      </c>
      <c r="J211" s="66">
        <v>5330</v>
      </c>
      <c r="K211" s="59">
        <f>4750+1889.49+329.93+78.1+225</f>
        <v>7272.52</v>
      </c>
      <c r="L211" s="41">
        <f>[28]Cover!$B$15+[28]Cover!$B$18+[28]Cover!$B$21+[28]Cover!$B$24+[28]Cover!$B$30</f>
        <v>12027.69</v>
      </c>
      <c r="M211" s="41">
        <f>[28]Cover!$B$15+[28]Cover!$B$18+[28]Cover!$B$21+[28]Cover!$B$24+[28]Cover!$B$30</f>
        <v>12027.69</v>
      </c>
      <c r="N211" s="59">
        <f>[28]Cover!$C$15+[28]Cover!$C$18+[28]Cover!$C$21+[28]Cover!$C$24+[28]Cover!$C$30</f>
        <v>13350</v>
      </c>
      <c r="O211" s="59">
        <f>[28]Cover!$D$15+[28]Cover!$D$18+[28]Cover!$D$21+[28]Cover!$D$24+[28]Cover!$D$30</f>
        <v>16850</v>
      </c>
      <c r="P211" s="59">
        <f>[28]Cover!$E$15+[28]Cover!$E$18+[28]Cover!$E$21+[28]Cover!$E$24+[28]Cover!$E$30</f>
        <v>16850</v>
      </c>
      <c r="Q211" s="59">
        <v>0</v>
      </c>
      <c r="R211" s="58"/>
    </row>
    <row r="212" spans="1:24" x14ac:dyDescent="0.2">
      <c r="A212" s="26"/>
      <c r="B212" s="27" t="s">
        <v>68</v>
      </c>
      <c r="C212" s="56">
        <v>0</v>
      </c>
      <c r="D212" s="70">
        <v>16000</v>
      </c>
      <c r="E212" s="70">
        <v>0</v>
      </c>
      <c r="F212" s="71">
        <v>0</v>
      </c>
      <c r="G212" s="71">
        <v>0</v>
      </c>
      <c r="H212" s="71">
        <v>0</v>
      </c>
      <c r="I212" s="72">
        <v>0</v>
      </c>
      <c r="J212" s="72">
        <v>0</v>
      </c>
      <c r="K212" s="70">
        <v>0</v>
      </c>
      <c r="L212" s="73">
        <f>[28]Cover!$B$27</f>
        <v>0</v>
      </c>
      <c r="M212" s="73">
        <f>[28]Cover!$B$27</f>
        <v>0</v>
      </c>
      <c r="N212" s="70">
        <f>[28]Cover!$C$27</f>
        <v>0</v>
      </c>
      <c r="O212" s="70">
        <f>[28]Cover!$D$27</f>
        <v>0</v>
      </c>
      <c r="P212" s="70">
        <f>[28]Cover!$E$27</f>
        <v>0</v>
      </c>
      <c r="Q212" s="71">
        <v>0</v>
      </c>
      <c r="R212" s="58"/>
    </row>
    <row r="213" spans="1:24" x14ac:dyDescent="0.2">
      <c r="A213" s="26">
        <v>27</v>
      </c>
      <c r="B213" s="27" t="s">
        <v>65</v>
      </c>
      <c r="C213" s="67">
        <f t="shared" ref="C213:N213" si="35">SUM(C210:C212)</f>
        <v>94015.02</v>
      </c>
      <c r="D213" s="59">
        <f t="shared" si="35"/>
        <v>114670</v>
      </c>
      <c r="E213" s="59">
        <f t="shared" si="35"/>
        <v>101259</v>
      </c>
      <c r="F213" s="65">
        <f t="shared" si="35"/>
        <v>104937.27</v>
      </c>
      <c r="G213" s="65">
        <f t="shared" si="35"/>
        <v>105663.57</v>
      </c>
      <c r="H213" s="59">
        <f t="shared" si="35"/>
        <v>121500.82</v>
      </c>
      <c r="I213" s="58">
        <f t="shared" si="35"/>
        <v>122900</v>
      </c>
      <c r="J213" s="58">
        <f t="shared" si="35"/>
        <v>113027</v>
      </c>
      <c r="K213" s="59">
        <f t="shared" si="35"/>
        <v>97272.52</v>
      </c>
      <c r="L213" s="41">
        <f t="shared" si="35"/>
        <v>104727.69</v>
      </c>
      <c r="M213" s="41">
        <f>SUM(M210:M212)</f>
        <v>104727.69</v>
      </c>
      <c r="N213" s="59">
        <f t="shared" si="35"/>
        <v>107350</v>
      </c>
      <c r="O213" s="59">
        <f>SUM(O210:O212)</f>
        <v>127761</v>
      </c>
      <c r="P213" s="59">
        <f>SUM(P210:P212)</f>
        <v>124656</v>
      </c>
      <c r="Q213" s="59">
        <f>SUM(Q210:Q212)</f>
        <v>0</v>
      </c>
      <c r="R213" s="63">
        <f>O213-N213</f>
        <v>20411</v>
      </c>
      <c r="S213" s="64">
        <f>R213/N213</f>
        <v>0.19013507219375872</v>
      </c>
      <c r="W213" s="63">
        <f>P213-N213</f>
        <v>17306</v>
      </c>
      <c r="X213" s="64">
        <f>W213/N213</f>
        <v>0.16121099208197484</v>
      </c>
    </row>
    <row r="214" spans="1:24" x14ac:dyDescent="0.2">
      <c r="A214" s="26"/>
      <c r="B214" s="27"/>
      <c r="D214" s="59"/>
      <c r="E214" s="59"/>
      <c r="F214" s="65"/>
      <c r="G214" s="65"/>
      <c r="H214" s="65"/>
      <c r="I214" s="66"/>
      <c r="J214" s="66"/>
      <c r="K214" s="59"/>
      <c r="L214" s="41"/>
      <c r="M214" s="41"/>
      <c r="N214" s="59"/>
      <c r="O214" s="59"/>
      <c r="P214" s="59"/>
      <c r="Q214" s="59"/>
      <c r="R214" s="58"/>
    </row>
    <row r="215" spans="1:24" x14ac:dyDescent="0.2">
      <c r="A215" s="26"/>
      <c r="B215" s="14" t="s">
        <v>120</v>
      </c>
      <c r="D215" s="59"/>
      <c r="E215" s="59"/>
      <c r="K215" s="59"/>
      <c r="L215" s="41"/>
      <c r="M215" s="41"/>
      <c r="N215" s="59"/>
      <c r="O215" s="59"/>
      <c r="P215" s="59"/>
      <c r="Q215" s="59"/>
      <c r="R215" s="58"/>
    </row>
    <row r="216" spans="1:24" x14ac:dyDescent="0.2">
      <c r="A216" s="26"/>
      <c r="B216" s="27" t="s">
        <v>64</v>
      </c>
      <c r="C216" s="51">
        <v>423481.66</v>
      </c>
      <c r="D216" s="51">
        <v>503806</v>
      </c>
      <c r="E216" s="51">
        <v>483280</v>
      </c>
      <c r="F216" s="51">
        <v>505131.76</v>
      </c>
      <c r="G216" s="51">
        <v>515744.87</v>
      </c>
      <c r="H216" s="51">
        <f>494508.33+10226.25+15436.42+1950+2132.18</f>
        <v>524253.18</v>
      </c>
      <c r="I216" s="68">
        <v>520052</v>
      </c>
      <c r="J216" s="68">
        <v>489731</v>
      </c>
      <c r="K216" s="51">
        <f>538250.12+16650+12607.33+2100+1884.66</f>
        <v>571492.11</v>
      </c>
      <c r="L216" s="41">
        <f>[29]Cover!$B$12</f>
        <v>560649.12</v>
      </c>
      <c r="M216" s="41">
        <f>[29]Cover!$B$12</f>
        <v>560649.12</v>
      </c>
      <c r="N216" s="41">
        <f>[29]Cover!$C$12</f>
        <v>630984</v>
      </c>
      <c r="O216" s="41">
        <f>[29]Cover!$D$12</f>
        <v>642327</v>
      </c>
      <c r="P216" s="41">
        <f>[29]Cover!$E$12</f>
        <v>618383</v>
      </c>
      <c r="Q216" s="41">
        <v>0</v>
      </c>
      <c r="R216" s="58"/>
    </row>
    <row r="217" spans="1:24" x14ac:dyDescent="0.2">
      <c r="A217" s="26"/>
      <c r="B217" s="27" t="s">
        <v>67</v>
      </c>
      <c r="C217" s="51">
        <f>192758.38+71041.49</f>
        <v>263799.87</v>
      </c>
      <c r="D217" s="59">
        <v>30000</v>
      </c>
      <c r="E217" s="59">
        <v>74733</v>
      </c>
      <c r="F217" s="65">
        <v>3090.95</v>
      </c>
      <c r="G217" s="65">
        <v>2393.02</v>
      </c>
      <c r="H217" s="65">
        <f>533339.98-H216-H218</f>
        <v>7254.2999999999884</v>
      </c>
      <c r="I217" s="66">
        <v>9230</v>
      </c>
      <c r="J217" s="66">
        <v>9604</v>
      </c>
      <c r="K217" s="59">
        <f>3627.99+1092.6+938</f>
        <v>5658.59</v>
      </c>
      <c r="L217" s="41">
        <f>[29]Cover!$B$15+[29]Cover!$B$18+[29]Cover!$B$21+[29]Cover!$B$24+[29]Cover!$B$30</f>
        <v>28647.26</v>
      </c>
      <c r="M217" s="41">
        <f>[29]Cover!$B$15+[29]Cover!$B$18+[29]Cover!$B$21+[29]Cover!$B$24+[29]Cover!$B$30</f>
        <v>28647.26</v>
      </c>
      <c r="N217" s="59">
        <f>[29]Cover!$C$15+[29]Cover!$C$18+[29]Cover!$C$21+[29]Cover!$C$24+[29]Cover!$C$30</f>
        <v>29800</v>
      </c>
      <c r="O217" s="59">
        <f>[29]Cover!$D$15+[29]Cover!$D$18+[29]Cover!$D$21+[29]Cover!$D$24+[29]Cover!$D$30</f>
        <v>34323</v>
      </c>
      <c r="P217" s="59">
        <f>[29]Cover!$E$15+[29]Cover!$E$18+[29]Cover!$E$21+[29]Cover!$E$24+[29]Cover!$E$30</f>
        <v>31323</v>
      </c>
      <c r="Q217" s="59">
        <v>0</v>
      </c>
      <c r="R217" s="58"/>
    </row>
    <row r="218" spans="1:24" x14ac:dyDescent="0.2">
      <c r="A218" s="26"/>
      <c r="B218" s="27" t="s">
        <v>68</v>
      </c>
      <c r="C218" s="56"/>
      <c r="D218" s="70">
        <v>20000</v>
      </c>
      <c r="E218" s="70"/>
      <c r="F218" s="71"/>
      <c r="G218" s="71"/>
      <c r="H218" s="71">
        <v>1832.5</v>
      </c>
      <c r="I218" s="72">
        <v>1515</v>
      </c>
      <c r="J218" s="72">
        <v>1000</v>
      </c>
      <c r="K218" s="70">
        <v>0</v>
      </c>
      <c r="L218" s="73">
        <f>[29]Cover!$B$27</f>
        <v>0</v>
      </c>
      <c r="M218" s="73">
        <f>[29]Cover!$B$27</f>
        <v>0</v>
      </c>
      <c r="N218" s="70">
        <f>[29]Cover!$C$27</f>
        <v>0</v>
      </c>
      <c r="O218" s="70">
        <f>[29]Cover!$D$27</f>
        <v>0</v>
      </c>
      <c r="P218" s="70">
        <f>[29]Cover!$E$27</f>
        <v>0</v>
      </c>
      <c r="Q218" s="71">
        <v>0</v>
      </c>
      <c r="R218" s="58"/>
    </row>
    <row r="219" spans="1:24" x14ac:dyDescent="0.2">
      <c r="A219" s="26">
        <v>28</v>
      </c>
      <c r="B219" s="27" t="s">
        <v>65</v>
      </c>
      <c r="C219" s="51">
        <v>687281.53</v>
      </c>
      <c r="D219" s="59">
        <f t="shared" ref="D219:K219" si="36">SUM(D216:D218)</f>
        <v>553806</v>
      </c>
      <c r="E219" s="59">
        <f t="shared" si="36"/>
        <v>558013</v>
      </c>
      <c r="F219" s="65">
        <f t="shared" si="36"/>
        <v>508222.71</v>
      </c>
      <c r="G219" s="65">
        <f t="shared" si="36"/>
        <v>518137.89</v>
      </c>
      <c r="H219" s="59">
        <f t="shared" si="36"/>
        <v>533339.98</v>
      </c>
      <c r="I219" s="58">
        <f t="shared" si="36"/>
        <v>530797</v>
      </c>
      <c r="J219" s="58">
        <f t="shared" si="36"/>
        <v>500335</v>
      </c>
      <c r="K219" s="59">
        <f t="shared" si="36"/>
        <v>577150.69999999995</v>
      </c>
      <c r="L219" s="41">
        <f>ROUNDUP(SUM(L216:L218), 0)</f>
        <v>589297</v>
      </c>
      <c r="M219" s="41">
        <f>ROUNDUP(SUM(M216:M218), 0)</f>
        <v>589297</v>
      </c>
      <c r="N219" s="59">
        <f>SUM(N216:N218)</f>
        <v>660784</v>
      </c>
      <c r="O219" s="59">
        <f>SUM(O216:O218)</f>
        <v>676650</v>
      </c>
      <c r="P219" s="59">
        <f>SUM(P216:P218)</f>
        <v>649706</v>
      </c>
      <c r="Q219" s="59">
        <f>SUM(Q216:Q218)</f>
        <v>0</v>
      </c>
      <c r="R219" s="63">
        <f>O219-N219</f>
        <v>15866</v>
      </c>
      <c r="S219" s="64">
        <f>R219/N219</f>
        <v>2.4010871933945133E-2</v>
      </c>
      <c r="W219" s="63">
        <f>P219-N219</f>
        <v>-11078</v>
      </c>
      <c r="X219" s="64">
        <f>W219/N219</f>
        <v>-1.6764933775636214E-2</v>
      </c>
    </row>
    <row r="220" spans="1:24" x14ac:dyDescent="0.2">
      <c r="A220" s="26"/>
      <c r="B220" s="27"/>
      <c r="C220" s="51">
        <v>0</v>
      </c>
      <c r="D220" s="59"/>
      <c r="E220" s="59"/>
      <c r="F220" s="65"/>
      <c r="G220" s="65"/>
      <c r="H220" s="65"/>
      <c r="I220" s="66"/>
      <c r="J220" s="66"/>
      <c r="K220" s="59"/>
      <c r="L220" s="41"/>
      <c r="M220" s="41"/>
      <c r="N220" s="59"/>
      <c r="O220" s="59"/>
      <c r="P220" s="59"/>
      <c r="Q220" s="59"/>
      <c r="R220" s="58"/>
    </row>
    <row r="221" spans="1:24" x14ac:dyDescent="0.2">
      <c r="A221" s="26"/>
      <c r="B221" s="14" t="s">
        <v>121</v>
      </c>
      <c r="C221" s="51"/>
      <c r="D221" s="59"/>
      <c r="E221" s="59"/>
      <c r="F221" s="65"/>
      <c r="G221" s="65"/>
      <c r="H221" s="65"/>
      <c r="I221" s="66"/>
      <c r="J221" s="66"/>
      <c r="K221" s="59"/>
      <c r="L221" s="41"/>
      <c r="M221" s="41"/>
      <c r="N221" s="59"/>
      <c r="O221" s="59"/>
      <c r="P221" s="59"/>
      <c r="Q221" s="59"/>
      <c r="R221" s="58"/>
    </row>
    <row r="222" spans="1:24" x14ac:dyDescent="0.2">
      <c r="A222" s="26"/>
      <c r="B222" s="27" t="s">
        <v>67</v>
      </c>
      <c r="C222" s="51">
        <v>0</v>
      </c>
      <c r="D222" s="59">
        <v>51396</v>
      </c>
      <c r="E222" s="59">
        <v>111602</v>
      </c>
      <c r="F222" s="65">
        <v>177193.05</v>
      </c>
      <c r="G222" s="65">
        <v>193537.39</v>
      </c>
      <c r="H222" s="65">
        <f>194359.66-H223</f>
        <v>172359.66</v>
      </c>
      <c r="I222" s="66">
        <v>190306</v>
      </c>
      <c r="J222" s="66">
        <v>210000</v>
      </c>
      <c r="K222" s="59">
        <f>77772.73+115956.89+3038.21</f>
        <v>196767.83</v>
      </c>
      <c r="L222" s="41">
        <f>[30]Cover!$B$15+[30]Cover!$B$18+[30]Cover!$B$21+[30]Cover!$B$24+[30]Cover!$B$30</f>
        <v>195345.88</v>
      </c>
      <c r="M222" s="41">
        <f>[30]Cover!$B$15+[30]Cover!$B$18+[30]Cover!$B$21+[30]Cover!$B$24+[30]Cover!$B$30</f>
        <v>195345.88</v>
      </c>
      <c r="N222" s="59">
        <f>[30]Cover!$C$15+[30]Cover!$C$18+[30]Cover!$C$21+[30]Cover!$C$24+[30]Cover!$C$30</f>
        <v>211000</v>
      </c>
      <c r="O222" s="59">
        <f>[30]Cover!$D$15+[30]Cover!$D$18+[30]Cover!$D$21+[30]Cover!$D$24+[30]Cover!$D$30</f>
        <v>220000</v>
      </c>
      <c r="P222" s="59">
        <f>[30]Cover!$E$15+[30]Cover!$E$18+[30]Cover!$E$21+[30]Cover!$E$24+[30]Cover!$E$30</f>
        <v>220000</v>
      </c>
      <c r="Q222" s="59">
        <v>0</v>
      </c>
      <c r="R222" s="58"/>
    </row>
    <row r="223" spans="1:24" x14ac:dyDescent="0.2">
      <c r="A223" s="26"/>
      <c r="B223" s="27" t="s">
        <v>68</v>
      </c>
      <c r="C223" s="56">
        <v>0</v>
      </c>
      <c r="D223" s="70">
        <v>30178</v>
      </c>
      <c r="E223" s="70">
        <v>0</v>
      </c>
      <c r="F223" s="71">
        <v>0</v>
      </c>
      <c r="G223" s="71">
        <v>0</v>
      </c>
      <c r="H223" s="71">
        <v>22000</v>
      </c>
      <c r="I223" s="72">
        <v>130000</v>
      </c>
      <c r="J223" s="72">
        <v>140000</v>
      </c>
      <c r="K223" s="70">
        <f>134451+17430</f>
        <v>151881</v>
      </c>
      <c r="L223" s="73">
        <f>[30]Cover!$B$27</f>
        <v>143782.91</v>
      </c>
      <c r="M223" s="73">
        <f>[30]Cover!$B$27</f>
        <v>143782.91</v>
      </c>
      <c r="N223" s="70">
        <f>[30]Cover!$C$27</f>
        <v>128000</v>
      </c>
      <c r="O223" s="70">
        <f>[30]Cover!$D$27</f>
        <v>204000</v>
      </c>
      <c r="P223" s="70">
        <f>[30]Cover!$E$27</f>
        <v>129000</v>
      </c>
      <c r="Q223" s="71">
        <v>0</v>
      </c>
      <c r="R223" s="58"/>
    </row>
    <row r="224" spans="1:24" x14ac:dyDescent="0.2">
      <c r="A224" s="26">
        <v>29</v>
      </c>
      <c r="B224" s="27" t="s">
        <v>65</v>
      </c>
      <c r="C224" s="59">
        <f t="shared" ref="C224:N224" si="37">SUM(C222:C223)</f>
        <v>0</v>
      </c>
      <c r="D224" s="59">
        <f t="shared" si="37"/>
        <v>81574</v>
      </c>
      <c r="E224" s="59">
        <f t="shared" si="37"/>
        <v>111602</v>
      </c>
      <c r="F224" s="65">
        <f t="shared" si="37"/>
        <v>177193.05</v>
      </c>
      <c r="G224" s="65">
        <f t="shared" si="37"/>
        <v>193537.39</v>
      </c>
      <c r="H224" s="59">
        <f t="shared" si="37"/>
        <v>194359.66</v>
      </c>
      <c r="I224" s="58">
        <f t="shared" si="37"/>
        <v>320306</v>
      </c>
      <c r="J224" s="58">
        <f t="shared" si="37"/>
        <v>350000</v>
      </c>
      <c r="K224" s="59">
        <f t="shared" si="37"/>
        <v>348648.82999999996</v>
      </c>
      <c r="L224" s="41">
        <f t="shared" si="37"/>
        <v>339128.79000000004</v>
      </c>
      <c r="M224" s="41">
        <f>SUM(M222:M223)</f>
        <v>339128.79000000004</v>
      </c>
      <c r="N224" s="59">
        <f t="shared" si="37"/>
        <v>339000</v>
      </c>
      <c r="O224" s="59">
        <f>SUM(O222:O223)</f>
        <v>424000</v>
      </c>
      <c r="P224" s="59">
        <f>SUM(P222:P223)</f>
        <v>349000</v>
      </c>
      <c r="Q224" s="59">
        <f>SUM(Q222:Q223)</f>
        <v>0</v>
      </c>
      <c r="R224" s="63">
        <f>O224-N224</f>
        <v>85000</v>
      </c>
      <c r="S224" s="64">
        <f>R224/N224</f>
        <v>0.25073746312684364</v>
      </c>
      <c r="W224" s="63">
        <f>P224-N224</f>
        <v>10000</v>
      </c>
      <c r="X224" s="64">
        <f>W224/N224</f>
        <v>2.9498525073746312E-2</v>
      </c>
    </row>
    <row r="225" spans="1:24" x14ac:dyDescent="0.2">
      <c r="A225" s="26"/>
      <c r="B225" s="27"/>
      <c r="C225" s="51"/>
      <c r="D225" s="59"/>
      <c r="E225" s="59"/>
      <c r="F225" s="65"/>
      <c r="G225" s="65"/>
      <c r="H225" s="65"/>
      <c r="I225" s="66"/>
      <c r="J225" s="66"/>
      <c r="K225" s="59"/>
      <c r="L225" s="41"/>
      <c r="M225" s="41"/>
      <c r="N225" s="59"/>
      <c r="O225" s="59"/>
      <c r="P225" s="59"/>
      <c r="Q225" s="59"/>
      <c r="R225" s="58"/>
    </row>
    <row r="226" spans="1:24" x14ac:dyDescent="0.2">
      <c r="A226" s="26"/>
      <c r="B226" s="14" t="s">
        <v>122</v>
      </c>
      <c r="C226" s="51"/>
      <c r="D226" s="59"/>
      <c r="E226" s="59"/>
      <c r="F226" s="65"/>
      <c r="G226" s="65"/>
      <c r="H226" s="65"/>
      <c r="I226" s="66"/>
      <c r="J226" s="66"/>
      <c r="K226" s="59"/>
      <c r="L226" s="41"/>
      <c r="M226" s="41"/>
      <c r="N226" s="59"/>
      <c r="O226" s="59"/>
      <c r="P226" s="59"/>
      <c r="Q226" s="59"/>
      <c r="R226" s="58"/>
    </row>
    <row r="227" spans="1:24" x14ac:dyDescent="0.2">
      <c r="A227" s="26"/>
      <c r="B227" s="27" t="s">
        <v>64</v>
      </c>
      <c r="C227" s="51" t="e">
        <v>#REF!</v>
      </c>
      <c r="D227" s="51">
        <v>49412</v>
      </c>
      <c r="E227" s="51">
        <v>56503</v>
      </c>
      <c r="F227" s="51">
        <v>48246.2</v>
      </c>
      <c r="G227" s="51">
        <v>79318.12</v>
      </c>
      <c r="H227" s="51">
        <v>85974.55</v>
      </c>
      <c r="I227" s="68">
        <v>64427</v>
      </c>
      <c r="J227" s="68">
        <v>89779</v>
      </c>
      <c r="K227" s="51">
        <v>35150.67</v>
      </c>
      <c r="L227" s="41">
        <f>[31]Cover!$B$12</f>
        <v>81293.8</v>
      </c>
      <c r="M227" s="41">
        <f>[31]Cover!$B$12</f>
        <v>81293.8</v>
      </c>
      <c r="N227" s="59">
        <f>[31]Cover!$C$12</f>
        <v>55000</v>
      </c>
      <c r="O227" s="59">
        <f>[31]Cover!$D$12</f>
        <v>60000</v>
      </c>
      <c r="P227" s="59">
        <f>[31]Cover!$E$12</f>
        <v>60000</v>
      </c>
      <c r="Q227" s="59">
        <v>0</v>
      </c>
      <c r="R227" s="58"/>
    </row>
    <row r="228" spans="1:24" x14ac:dyDescent="0.2">
      <c r="A228" s="26"/>
      <c r="B228" s="27" t="s">
        <v>67</v>
      </c>
      <c r="C228" s="51">
        <v>0</v>
      </c>
      <c r="D228" s="59">
        <v>0</v>
      </c>
      <c r="E228" s="59">
        <v>175284</v>
      </c>
      <c r="F228" s="65">
        <v>108010.48</v>
      </c>
      <c r="G228" s="65">
        <f>61433.81+189036.47</f>
        <v>250470.28</v>
      </c>
      <c r="H228" s="65">
        <f>330664.87-H227</f>
        <v>244690.32</v>
      </c>
      <c r="I228" s="66">
        <v>269008</v>
      </c>
      <c r="J228" s="66">
        <v>300909</v>
      </c>
      <c r="K228" s="59">
        <f>35848.75+81563.28</f>
        <v>117412.03</v>
      </c>
      <c r="L228" s="41">
        <f>[31]Cover!$B$15+[31]Cover!$B$18+[31]Cover!$B$21+[31]Cover!$B$24+[31]Cover!$B$30</f>
        <v>395171.05999999994</v>
      </c>
      <c r="M228" s="41">
        <f>[31]Cover!$B$15+[31]Cover!$B$18+[31]Cover!$B$21+[31]Cover!$B$24+[31]Cover!$B$30</f>
        <v>395171.05999999994</v>
      </c>
      <c r="N228" s="59">
        <f>[31]Cover!$C$15+[31]Cover!$C$18+[31]Cover!$C$21+[31]Cover!$C$24+[31]Cover!$C$30</f>
        <v>105000</v>
      </c>
      <c r="O228" s="59">
        <f>[31]Cover!$D$15+[31]Cover!$D$18+[31]Cover!$D$21+[31]Cover!$D$24+[31]Cover!$D$30</f>
        <v>110000</v>
      </c>
      <c r="P228" s="59">
        <f>[31]Cover!$E$15+[31]Cover!$E$18+[31]Cover!$E$21+[31]Cover!$E$24+[31]Cover!$E$30</f>
        <v>110000</v>
      </c>
      <c r="Q228" s="59">
        <v>0</v>
      </c>
      <c r="R228" s="58"/>
    </row>
    <row r="229" spans="1:24" x14ac:dyDescent="0.2">
      <c r="A229" s="26"/>
      <c r="B229" s="27" t="s">
        <v>68</v>
      </c>
      <c r="C229" s="56">
        <v>0</v>
      </c>
      <c r="D229" s="70">
        <v>92721</v>
      </c>
      <c r="E229" s="70">
        <v>0</v>
      </c>
      <c r="F229" s="71">
        <v>0</v>
      </c>
      <c r="G229" s="71">
        <v>4900</v>
      </c>
      <c r="H229" s="71">
        <v>0</v>
      </c>
      <c r="I229" s="72">
        <v>0</v>
      </c>
      <c r="J229" s="72">
        <v>0</v>
      </c>
      <c r="K229" s="70">
        <v>0</v>
      </c>
      <c r="L229" s="73">
        <f>[31]Cover!$B$27</f>
        <v>0</v>
      </c>
      <c r="M229" s="73">
        <f>[31]Cover!$B$27</f>
        <v>0</v>
      </c>
      <c r="N229" s="70">
        <f>[31]Cover!$C$27</f>
        <v>0</v>
      </c>
      <c r="O229" s="70">
        <f>[31]Cover!$D$27</f>
        <v>0</v>
      </c>
      <c r="P229" s="70">
        <f>[31]Cover!$E$27</f>
        <v>0</v>
      </c>
      <c r="Q229" s="71">
        <v>0</v>
      </c>
      <c r="R229" s="58"/>
    </row>
    <row r="230" spans="1:24" x14ac:dyDescent="0.2">
      <c r="A230" s="26">
        <v>30</v>
      </c>
      <c r="B230" s="27" t="s">
        <v>65</v>
      </c>
      <c r="C230" s="59" t="e">
        <f t="shared" ref="C230:N230" si="38">SUM(C227:C229)</f>
        <v>#REF!</v>
      </c>
      <c r="D230" s="59">
        <f t="shared" si="38"/>
        <v>142133</v>
      </c>
      <c r="E230" s="59">
        <f t="shared" si="38"/>
        <v>231787</v>
      </c>
      <c r="F230" s="65">
        <f t="shared" si="38"/>
        <v>156256.68</v>
      </c>
      <c r="G230" s="65">
        <f t="shared" si="38"/>
        <v>334688.40000000002</v>
      </c>
      <c r="H230" s="59">
        <f t="shared" si="38"/>
        <v>330664.87</v>
      </c>
      <c r="I230" s="58">
        <f t="shared" si="38"/>
        <v>333435</v>
      </c>
      <c r="J230" s="58">
        <f t="shared" si="38"/>
        <v>390688</v>
      </c>
      <c r="K230" s="59">
        <f t="shared" si="38"/>
        <v>152562.70000000001</v>
      </c>
      <c r="L230" s="41">
        <f t="shared" si="38"/>
        <v>476464.85999999993</v>
      </c>
      <c r="M230" s="41">
        <f>SUM(M227:M229)</f>
        <v>476464.85999999993</v>
      </c>
      <c r="N230" s="59">
        <f t="shared" si="38"/>
        <v>160000</v>
      </c>
      <c r="O230" s="59">
        <f>SUM(O227:O229)</f>
        <v>170000</v>
      </c>
      <c r="P230" s="59">
        <f>SUM(P227:P229)</f>
        <v>170000</v>
      </c>
      <c r="Q230" s="59">
        <f>SUM(Q227:Q229)</f>
        <v>0</v>
      </c>
      <c r="R230" s="63">
        <f>O230-N230</f>
        <v>10000</v>
      </c>
      <c r="S230" s="64">
        <f>R230/N230</f>
        <v>6.25E-2</v>
      </c>
      <c r="W230" s="63">
        <f>P230-N230</f>
        <v>10000</v>
      </c>
      <c r="X230" s="64">
        <f>W230/N230</f>
        <v>6.25E-2</v>
      </c>
    </row>
    <row r="231" spans="1:24" x14ac:dyDescent="0.2">
      <c r="A231" s="26"/>
      <c r="B231" s="27"/>
      <c r="C231" s="51"/>
      <c r="D231" s="59"/>
      <c r="E231" s="59"/>
      <c r="K231" s="59"/>
      <c r="L231" s="41"/>
      <c r="M231" s="41"/>
      <c r="N231" s="59"/>
      <c r="O231" s="59"/>
      <c r="P231" s="59"/>
      <c r="Q231" s="59"/>
      <c r="R231" s="58"/>
    </row>
    <row r="232" spans="1:24" x14ac:dyDescent="0.2">
      <c r="A232" s="26"/>
      <c r="B232" s="14" t="s">
        <v>123</v>
      </c>
      <c r="C232" s="51"/>
      <c r="D232" s="59"/>
      <c r="E232" s="59"/>
      <c r="K232" s="59"/>
      <c r="L232" s="41"/>
      <c r="M232" s="41"/>
      <c r="N232" s="59"/>
      <c r="O232" s="59"/>
      <c r="P232" s="59"/>
      <c r="Q232" s="59"/>
      <c r="R232" s="58"/>
    </row>
    <row r="233" spans="1:24" x14ac:dyDescent="0.2">
      <c r="A233" s="26"/>
      <c r="B233" s="27" t="s">
        <v>67</v>
      </c>
      <c r="C233" s="51">
        <v>70000</v>
      </c>
      <c r="D233" s="59">
        <v>74880</v>
      </c>
      <c r="E233" s="51">
        <v>72428</v>
      </c>
      <c r="F233" s="77">
        <v>84387.61</v>
      </c>
      <c r="G233" s="77">
        <f>80289+19125.14</f>
        <v>99414.14</v>
      </c>
      <c r="H233" s="77">
        <v>82518.02</v>
      </c>
      <c r="I233" s="78">
        <v>102253</v>
      </c>
      <c r="J233" s="78">
        <v>106000</v>
      </c>
      <c r="K233" s="51">
        <f>91271.38+7362.12</f>
        <v>98633.5</v>
      </c>
      <c r="L233" s="83">
        <f>[32]Cover!$B$15+[32]Cover!$B$18+[32]Cover!$B$21+[32]Cover!$B$24+[32]Cover!$B$30</f>
        <v>91998.77</v>
      </c>
      <c r="M233" s="83">
        <f>[32]Cover!$B$15+[32]Cover!$B$18+[32]Cover!$B$21+[32]Cover!$B$24+[32]Cover!$B$30</f>
        <v>91998.77</v>
      </c>
      <c r="N233" s="51">
        <f>[32]Cover!$C$15+[32]Cover!$C$18+[32]Cover!$C$21+[32]Cover!$C$24+[32]Cover!$C$30</f>
        <v>95000</v>
      </c>
      <c r="O233" s="51">
        <f>[32]Cover!$D$15+[32]Cover!$D$18+[32]Cover!$D$21+[32]Cover!$D$24+[32]Cover!$D$30</f>
        <v>95000</v>
      </c>
      <c r="P233" s="51">
        <f>[32]Cover!$E$15+[32]Cover!$E$18+[32]Cover!$E$21+[32]Cover!$E$24+[32]Cover!$E$30</f>
        <v>92000</v>
      </c>
      <c r="Q233" s="51"/>
      <c r="R233" s="68"/>
    </row>
    <row r="234" spans="1:24" x14ac:dyDescent="0.2">
      <c r="A234" s="26"/>
      <c r="B234" s="27" t="s">
        <v>68</v>
      </c>
      <c r="C234" s="56">
        <v>0</v>
      </c>
      <c r="D234" s="70">
        <v>0</v>
      </c>
      <c r="E234" s="70">
        <v>0</v>
      </c>
      <c r="F234" s="71">
        <v>0</v>
      </c>
      <c r="G234" s="71">
        <v>0</v>
      </c>
      <c r="H234" s="71">
        <v>0</v>
      </c>
      <c r="I234" s="72">
        <v>0</v>
      </c>
      <c r="J234" s="72">
        <v>0</v>
      </c>
      <c r="K234" s="70">
        <v>0</v>
      </c>
      <c r="L234" s="73">
        <f>[32]Cover!$B$27</f>
        <v>0</v>
      </c>
      <c r="M234" s="73">
        <f>[32]Cover!$B$27</f>
        <v>0</v>
      </c>
      <c r="N234" s="70">
        <f>[32]Cover!$C$27</f>
        <v>0</v>
      </c>
      <c r="O234" s="70">
        <f>[32]Cover!$D$27</f>
        <v>0</v>
      </c>
      <c r="P234" s="70">
        <f>[32]Cover!$E$27</f>
        <v>0</v>
      </c>
      <c r="Q234" s="71"/>
      <c r="R234" s="58"/>
    </row>
    <row r="235" spans="1:24" x14ac:dyDescent="0.2">
      <c r="A235" s="26">
        <v>31</v>
      </c>
      <c r="B235" s="27" t="s">
        <v>65</v>
      </c>
      <c r="C235" s="51">
        <f>SUM(C233)</f>
        <v>70000</v>
      </c>
      <c r="D235" s="59">
        <f t="shared" ref="D235:N235" si="39">SUM(D233:D234)</f>
        <v>74880</v>
      </c>
      <c r="E235" s="60">
        <f t="shared" si="39"/>
        <v>72428</v>
      </c>
      <c r="F235" s="61">
        <f t="shared" si="39"/>
        <v>84387.61</v>
      </c>
      <c r="G235" s="61">
        <f t="shared" si="39"/>
        <v>99414.14</v>
      </c>
      <c r="H235" s="107">
        <f t="shared" si="39"/>
        <v>82518.02</v>
      </c>
      <c r="I235" s="108">
        <f t="shared" si="39"/>
        <v>102253</v>
      </c>
      <c r="J235" s="108">
        <f t="shared" si="39"/>
        <v>106000</v>
      </c>
      <c r="K235" s="107">
        <f t="shared" si="39"/>
        <v>98633.5</v>
      </c>
      <c r="L235" s="41">
        <f t="shared" si="39"/>
        <v>91998.77</v>
      </c>
      <c r="M235" s="41">
        <f>SUM(M233:M234)</f>
        <v>91998.77</v>
      </c>
      <c r="N235" s="107">
        <f t="shared" si="39"/>
        <v>95000</v>
      </c>
      <c r="O235" s="107">
        <f>SUM(O233:O234)</f>
        <v>95000</v>
      </c>
      <c r="P235" s="107">
        <f>SUM(P233:P234)</f>
        <v>92000</v>
      </c>
      <c r="Q235" s="107">
        <f>SUM(Q233:Q234)</f>
        <v>0</v>
      </c>
      <c r="R235" s="63">
        <f>O235-N235</f>
        <v>0</v>
      </c>
      <c r="S235" s="64">
        <f>R235/N235</f>
        <v>0</v>
      </c>
      <c r="W235" s="63">
        <f>P235-N235</f>
        <v>-3000</v>
      </c>
      <c r="X235" s="64">
        <f>W235/N235</f>
        <v>-3.1578947368421054E-2</v>
      </c>
    </row>
    <row r="236" spans="1:24" x14ac:dyDescent="0.2">
      <c r="A236" s="26"/>
      <c r="B236" s="27"/>
      <c r="C236" s="51"/>
      <c r="D236" s="59"/>
      <c r="E236" s="59"/>
      <c r="F236" s="65"/>
      <c r="G236" s="65"/>
      <c r="H236" s="65"/>
      <c r="I236" s="66"/>
      <c r="J236" s="66"/>
      <c r="K236" s="59"/>
      <c r="L236" s="41"/>
      <c r="M236" s="41"/>
      <c r="N236" s="59"/>
      <c r="O236" s="59"/>
      <c r="P236" s="59"/>
      <c r="Q236" s="59"/>
      <c r="R236" s="58"/>
    </row>
    <row r="237" spans="1:24" x14ac:dyDescent="0.2">
      <c r="A237" s="26"/>
      <c r="B237" s="14" t="s">
        <v>124</v>
      </c>
      <c r="C237" s="51"/>
      <c r="D237" s="59"/>
      <c r="E237" s="59"/>
      <c r="F237" s="65"/>
      <c r="G237" s="65"/>
      <c r="H237" s="65"/>
      <c r="I237" s="66"/>
      <c r="J237" s="66"/>
      <c r="K237" s="59"/>
      <c r="L237" s="41"/>
      <c r="M237" s="41"/>
      <c r="N237" s="59"/>
      <c r="O237" s="59"/>
      <c r="P237" s="59"/>
      <c r="Q237" s="59"/>
      <c r="R237" s="58"/>
    </row>
    <row r="238" spans="1:24" x14ac:dyDescent="0.2">
      <c r="A238" s="26"/>
      <c r="B238" s="27" t="s">
        <v>64</v>
      </c>
      <c r="C238" s="51">
        <v>97593.7</v>
      </c>
      <c r="D238" s="51">
        <v>1500</v>
      </c>
      <c r="E238" s="51">
        <v>0</v>
      </c>
      <c r="F238" s="51">
        <v>0</v>
      </c>
      <c r="G238" s="51">
        <v>0</v>
      </c>
      <c r="H238" s="51">
        <v>0</v>
      </c>
      <c r="I238" s="68">
        <v>0</v>
      </c>
      <c r="J238" s="68"/>
      <c r="K238" s="51">
        <v>0</v>
      </c>
      <c r="L238" s="41">
        <f>[33]Cover!$B$12</f>
        <v>0</v>
      </c>
      <c r="M238" s="41">
        <f>[33]Cover!$B$12</f>
        <v>0</v>
      </c>
      <c r="N238" s="59">
        <f>[33]Cover!$C$12</f>
        <v>0</v>
      </c>
      <c r="O238" s="59">
        <f>[33]Cover!$D$12</f>
        <v>0</v>
      </c>
      <c r="P238" s="59">
        <f>[33]Cover!$E$12</f>
        <v>0</v>
      </c>
      <c r="Q238" s="59">
        <v>0</v>
      </c>
      <c r="R238" s="58"/>
    </row>
    <row r="239" spans="1:24" x14ac:dyDescent="0.2">
      <c r="A239" s="26"/>
      <c r="B239" s="27" t="s">
        <v>67</v>
      </c>
      <c r="C239" s="51">
        <f>1452.83+62826.39+20051</f>
        <v>84330.22</v>
      </c>
      <c r="D239" s="59">
        <v>70000</v>
      </c>
      <c r="E239" s="59">
        <v>67886</v>
      </c>
      <c r="F239" s="65">
        <v>75504.87</v>
      </c>
      <c r="G239" s="65">
        <f>73779.32+4663.6+128.61</f>
        <v>78571.530000000013</v>
      </c>
      <c r="H239" s="65">
        <f>51737.37-H238-H240</f>
        <v>46471.170000000006</v>
      </c>
      <c r="I239" s="66">
        <v>84740</v>
      </c>
      <c r="J239" s="66">
        <v>90100</v>
      </c>
      <c r="K239" s="59">
        <f>63176.97+5156.12+8215</f>
        <v>76548.09</v>
      </c>
      <c r="L239" s="41">
        <f>[33]Cover!$B$15+[33]Cover!$B$18+[33]Cover!$B$21+[33]Cover!$B$24+[33]Cover!$B$30</f>
        <v>91495.48</v>
      </c>
      <c r="M239" s="41">
        <f>[33]Cover!$B$15+[33]Cover!$B$18+[33]Cover!$B$21+[33]Cover!$B$24+[33]Cover!$B$30</f>
        <v>91495.48</v>
      </c>
      <c r="N239" s="59">
        <f>[33]Cover!$C$15+[33]Cover!$C$18+[33]Cover!$C$21+[33]Cover!$C$24+[33]Cover!$C$30</f>
        <v>91000</v>
      </c>
      <c r="O239" s="59">
        <f>[33]Cover!$D$15+[33]Cover!$D$18+[33]Cover!$D$21+[33]Cover!$D$24+[33]Cover!$D$30</f>
        <v>93500</v>
      </c>
      <c r="P239" s="59">
        <f>[33]Cover!$E$15+[33]Cover!$E$18+[33]Cover!$E$21+[33]Cover!$E$24+[33]Cover!$E$30</f>
        <v>93500</v>
      </c>
      <c r="Q239" s="59">
        <v>0</v>
      </c>
      <c r="R239" s="58"/>
    </row>
    <row r="240" spans="1:24" x14ac:dyDescent="0.2">
      <c r="A240" s="26"/>
      <c r="B240" s="27" t="s">
        <v>68</v>
      </c>
      <c r="C240" s="56">
        <v>0</v>
      </c>
      <c r="D240" s="70">
        <v>0</v>
      </c>
      <c r="E240" s="70">
        <v>0</v>
      </c>
      <c r="F240" s="71">
        <v>0</v>
      </c>
      <c r="G240" s="71">
        <v>45000</v>
      </c>
      <c r="H240" s="71">
        <v>5266.2</v>
      </c>
      <c r="I240" s="72">
        <v>0</v>
      </c>
      <c r="J240" s="72">
        <v>2000</v>
      </c>
      <c r="K240" s="70">
        <v>0</v>
      </c>
      <c r="L240" s="73">
        <f>[33]Cover!$B$27</f>
        <v>0</v>
      </c>
      <c r="M240" s="73">
        <f>[33]Cover!$B$27</f>
        <v>0</v>
      </c>
      <c r="N240" s="70">
        <f>[33]Cover!$C$27</f>
        <v>0</v>
      </c>
      <c r="O240" s="70">
        <f>[33]Cover!$D$27</f>
        <v>10000</v>
      </c>
      <c r="P240" s="70">
        <f>[33]Cover!$E$27</f>
        <v>0</v>
      </c>
      <c r="Q240" s="71">
        <v>0</v>
      </c>
      <c r="R240" s="58"/>
    </row>
    <row r="241" spans="1:24" x14ac:dyDescent="0.2">
      <c r="A241" s="26">
        <v>32</v>
      </c>
      <c r="B241" s="27" t="s">
        <v>65</v>
      </c>
      <c r="C241" s="51">
        <v>161872.92000000001</v>
      </c>
      <c r="D241" s="59">
        <f>SUM(D238:D239)</f>
        <v>71500</v>
      </c>
      <c r="E241" s="60">
        <f t="shared" ref="E241:N241" si="40">SUM(E238:E240)</f>
        <v>67886</v>
      </c>
      <c r="F241" s="61">
        <f t="shared" si="40"/>
        <v>75504.87</v>
      </c>
      <c r="G241" s="61">
        <f t="shared" si="40"/>
        <v>123571.53000000001</v>
      </c>
      <c r="H241" s="60">
        <f t="shared" si="40"/>
        <v>51737.37</v>
      </c>
      <c r="I241" s="62">
        <f t="shared" si="40"/>
        <v>84740</v>
      </c>
      <c r="J241" s="62">
        <f t="shared" si="40"/>
        <v>92100</v>
      </c>
      <c r="K241" s="60">
        <f t="shared" si="40"/>
        <v>76548.09</v>
      </c>
      <c r="L241" s="41">
        <f t="shared" si="40"/>
        <v>91495.48</v>
      </c>
      <c r="M241" s="41">
        <f>SUM(M238:M240)</f>
        <v>91495.48</v>
      </c>
      <c r="N241" s="60">
        <f t="shared" si="40"/>
        <v>91000</v>
      </c>
      <c r="O241" s="60">
        <f>SUM(O238:O240)</f>
        <v>103500</v>
      </c>
      <c r="P241" s="60">
        <f>SUM(P238:P240)</f>
        <v>93500</v>
      </c>
      <c r="Q241" s="60">
        <f>SUM(Q238:Q240)</f>
        <v>0</v>
      </c>
      <c r="R241" s="63">
        <f>O241-N241</f>
        <v>12500</v>
      </c>
      <c r="S241" s="64">
        <f>R241/N241</f>
        <v>0.13736263736263737</v>
      </c>
      <c r="W241" s="63">
        <f>P241-N241</f>
        <v>2500</v>
      </c>
      <c r="X241" s="64">
        <f>W241/N241</f>
        <v>2.7472527472527472E-2</v>
      </c>
    </row>
    <row r="242" spans="1:24" x14ac:dyDescent="0.2">
      <c r="A242" s="26"/>
      <c r="B242" s="27"/>
      <c r="C242" s="51"/>
      <c r="D242" s="59"/>
      <c r="E242" s="59"/>
      <c r="F242" s="65"/>
      <c r="G242" s="65"/>
      <c r="H242" s="65"/>
      <c r="I242" s="66"/>
      <c r="J242" s="66"/>
      <c r="K242" s="59"/>
      <c r="L242" s="41"/>
      <c r="M242" s="41"/>
      <c r="N242" s="59"/>
      <c r="O242" s="59"/>
      <c r="P242" s="59"/>
      <c r="Q242" s="59"/>
      <c r="R242" s="58"/>
    </row>
    <row r="243" spans="1:24" x14ac:dyDescent="0.2">
      <c r="A243" s="26"/>
      <c r="B243" s="14" t="s">
        <v>197</v>
      </c>
      <c r="C243" s="90"/>
      <c r="D243" s="59"/>
      <c r="E243" s="59"/>
      <c r="F243" s="65"/>
      <c r="G243" s="65"/>
      <c r="H243" s="65"/>
      <c r="I243" s="66"/>
      <c r="J243" s="66"/>
      <c r="K243" s="59"/>
      <c r="L243" s="41"/>
      <c r="M243" s="41"/>
      <c r="N243" s="59"/>
      <c r="O243" s="59"/>
      <c r="P243" s="59"/>
      <c r="Q243" s="59"/>
      <c r="R243" s="58"/>
    </row>
    <row r="244" spans="1:24" x14ac:dyDescent="0.2">
      <c r="A244" s="26"/>
      <c r="B244" s="27" t="s">
        <v>64</v>
      </c>
      <c r="C244" s="90">
        <v>0</v>
      </c>
      <c r="D244" s="90">
        <v>0</v>
      </c>
      <c r="E244" s="90">
        <v>5998</v>
      </c>
      <c r="F244" s="90">
        <v>14854.26</v>
      </c>
      <c r="G244" s="90">
        <v>25897.67</v>
      </c>
      <c r="H244" s="90">
        <f>17434.32</f>
        <v>17434.32</v>
      </c>
      <c r="I244" s="109">
        <v>17400</v>
      </c>
      <c r="J244" s="109">
        <v>17159</v>
      </c>
      <c r="K244" s="90">
        <v>19980</v>
      </c>
      <c r="L244" s="41">
        <f>[34]Cover!$B$12</f>
        <v>19980</v>
      </c>
      <c r="M244" s="41">
        <f>[34]Cover!$B$12</f>
        <v>19980</v>
      </c>
      <c r="N244" s="59">
        <f>[34]Cover!$C$12</f>
        <v>19980</v>
      </c>
      <c r="O244" s="59">
        <f>[34]Cover!$D$12</f>
        <v>19980</v>
      </c>
      <c r="P244" s="59">
        <f>[34]Cover!$E$12</f>
        <v>19980</v>
      </c>
      <c r="Q244" s="59"/>
      <c r="R244" s="58"/>
    </row>
    <row r="245" spans="1:24" x14ac:dyDescent="0.2">
      <c r="A245" s="26"/>
      <c r="B245" s="27" t="s">
        <v>67</v>
      </c>
      <c r="C245" s="51">
        <v>0</v>
      </c>
      <c r="D245" s="59">
        <v>14200</v>
      </c>
      <c r="E245" s="59">
        <v>34303</v>
      </c>
      <c r="F245" s="65">
        <v>31967.48</v>
      </c>
      <c r="G245" s="65">
        <f>14786.61+16726.78</f>
        <v>31513.39</v>
      </c>
      <c r="H245" s="65">
        <f>56247.08-H244-H246</f>
        <v>33812.76</v>
      </c>
      <c r="I245" s="66">
        <v>40070</v>
      </c>
      <c r="J245" s="66">
        <v>40177</v>
      </c>
      <c r="K245" s="59">
        <f>17659+4975.33+17488.2</f>
        <v>40122.53</v>
      </c>
      <c r="L245" s="41">
        <f>[34]Cover!$B$15+[34]Cover!$B$18+[34]Cover!$B$21+[34]Cover!$B$24+[34]Cover!$B$27+[34]Cover!$B$33</f>
        <v>37277.130000000005</v>
      </c>
      <c r="M245" s="41">
        <f>[34]Cover!$B$15+[34]Cover!$B$18+[34]Cover!$B$21+[34]Cover!$B$24+[34]Cover!$B$27+[34]Cover!$B$33</f>
        <v>37277.130000000005</v>
      </c>
      <c r="N245" s="59">
        <f>[34]Cover!$C$15+[34]Cover!$C$18+[34]Cover!$C$21+[34]Cover!$C$24+[34]Cover!$C$27+[34]Cover!$C$33</f>
        <v>41000</v>
      </c>
      <c r="O245" s="59">
        <f>[34]Cover!$D$15+[34]Cover!$D$18+[34]Cover!$D$21+[34]Cover!$D$24+[34]Cover!$D$27+[34]Cover!$D$33</f>
        <v>41000</v>
      </c>
      <c r="P245" s="59">
        <f>[34]Cover!$E$15+[34]Cover!$E$18+[34]Cover!$E$21+[34]Cover!$E$24+[34]Cover!$E$27+[34]Cover!$E$33</f>
        <v>41000</v>
      </c>
      <c r="Q245" s="59"/>
      <c r="R245" s="58"/>
    </row>
    <row r="246" spans="1:24" x14ac:dyDescent="0.2">
      <c r="A246" s="26"/>
      <c r="B246" s="27" t="s">
        <v>68</v>
      </c>
      <c r="C246" s="56">
        <v>0</v>
      </c>
      <c r="D246" s="70">
        <v>12800</v>
      </c>
      <c r="E246" s="70"/>
      <c r="F246" s="71"/>
      <c r="G246" s="71">
        <v>11000</v>
      </c>
      <c r="H246" s="71">
        <v>5000</v>
      </c>
      <c r="I246" s="72">
        <v>13890</v>
      </c>
      <c r="J246" s="72">
        <v>14000</v>
      </c>
      <c r="K246" s="70">
        <v>14500</v>
      </c>
      <c r="L246" s="73">
        <f>[34]Cover!$B$30</f>
        <v>0</v>
      </c>
      <c r="M246" s="73">
        <f>[34]Cover!$B$30</f>
        <v>0</v>
      </c>
      <c r="N246" s="70">
        <f>[34]Cover!$C$30</f>
        <v>15000</v>
      </c>
      <c r="O246" s="70">
        <f>[34]Cover!$D$30</f>
        <v>28000</v>
      </c>
      <c r="P246" s="70">
        <f>[34]Cover!$E$30</f>
        <v>15000</v>
      </c>
      <c r="Q246" s="71"/>
      <c r="R246" s="58"/>
    </row>
    <row r="247" spans="1:24" x14ac:dyDescent="0.2">
      <c r="A247" s="26">
        <v>33</v>
      </c>
      <c r="B247" s="27" t="s">
        <v>65</v>
      </c>
      <c r="C247" s="51">
        <v>0</v>
      </c>
      <c r="D247" s="59">
        <f t="shared" ref="D247:N247" si="41">SUM(D244:D246)</f>
        <v>27000</v>
      </c>
      <c r="E247" s="59">
        <f t="shared" si="41"/>
        <v>40301</v>
      </c>
      <c r="F247" s="65">
        <f t="shared" si="41"/>
        <v>46821.74</v>
      </c>
      <c r="G247" s="65">
        <f t="shared" si="41"/>
        <v>68411.06</v>
      </c>
      <c r="H247" s="59">
        <f t="shared" si="41"/>
        <v>56247.08</v>
      </c>
      <c r="I247" s="58">
        <f t="shared" si="41"/>
        <v>71360</v>
      </c>
      <c r="J247" s="58">
        <f t="shared" si="41"/>
        <v>71336</v>
      </c>
      <c r="K247" s="59">
        <f t="shared" si="41"/>
        <v>74602.53</v>
      </c>
      <c r="L247" s="41">
        <f t="shared" si="41"/>
        <v>57257.130000000005</v>
      </c>
      <c r="M247" s="41">
        <f>SUM(M244:M246)</f>
        <v>57257.130000000005</v>
      </c>
      <c r="N247" s="59">
        <f t="shared" si="41"/>
        <v>75980</v>
      </c>
      <c r="O247" s="59">
        <f>SUM(O244:O246)</f>
        <v>88980</v>
      </c>
      <c r="P247" s="59">
        <f>SUM(P244:P246)</f>
        <v>75980</v>
      </c>
      <c r="Q247" s="59">
        <f>SUM(Q244:Q246)</f>
        <v>0</v>
      </c>
      <c r="R247" s="63">
        <f>O247-N247</f>
        <v>13000</v>
      </c>
      <c r="S247" s="64">
        <f>R247/N247</f>
        <v>0.17109765727823112</v>
      </c>
      <c r="W247" s="63">
        <f>P247-N247</f>
        <v>0</v>
      </c>
      <c r="X247" s="64">
        <f>W247/N247</f>
        <v>0</v>
      </c>
    </row>
    <row r="248" spans="1:24" x14ac:dyDescent="0.2">
      <c r="A248" s="26"/>
      <c r="B248" s="27"/>
      <c r="C248" s="51"/>
      <c r="D248" s="59"/>
      <c r="E248" s="59"/>
      <c r="F248" s="65"/>
      <c r="G248" s="65"/>
      <c r="H248" s="65"/>
      <c r="I248" s="66"/>
      <c r="J248" s="66"/>
      <c r="K248" s="59"/>
      <c r="L248" s="41"/>
      <c r="M248" s="41"/>
      <c r="N248" s="59"/>
      <c r="O248" s="59"/>
      <c r="P248" s="59"/>
      <c r="Q248" s="59"/>
      <c r="R248" s="58"/>
    </row>
    <row r="249" spans="1:24" x14ac:dyDescent="0.2">
      <c r="A249" s="28"/>
      <c r="B249" s="29" t="s">
        <v>125</v>
      </c>
      <c r="C249" s="77"/>
      <c r="D249" s="65"/>
      <c r="E249" s="65"/>
      <c r="F249" s="65"/>
      <c r="G249" s="65"/>
      <c r="H249" s="65"/>
      <c r="I249" s="66"/>
      <c r="J249" s="66"/>
      <c r="K249" s="65"/>
      <c r="L249" s="75"/>
      <c r="M249" s="75"/>
      <c r="N249" s="65"/>
      <c r="O249" s="65"/>
      <c r="P249" s="65"/>
      <c r="Q249" s="65"/>
      <c r="R249" s="66"/>
      <c r="S249" s="76"/>
    </row>
    <row r="250" spans="1:24" x14ac:dyDescent="0.2">
      <c r="A250" s="28"/>
      <c r="B250" s="30" t="s">
        <v>64</v>
      </c>
      <c r="C250" s="77">
        <v>37380.06</v>
      </c>
      <c r="D250" s="77">
        <v>30848</v>
      </c>
      <c r="E250" s="77">
        <v>31152</v>
      </c>
      <c r="F250" s="77">
        <v>9799</v>
      </c>
      <c r="G250" s="77">
        <v>9745</v>
      </c>
      <c r="H250" s="77">
        <f>3805.95+13321.25+0</f>
        <v>17127.2</v>
      </c>
      <c r="I250" s="78" t="e">
        <f>#REF!</f>
        <v>#REF!</v>
      </c>
      <c r="J250" s="78">
        <v>14199</v>
      </c>
      <c r="K250" s="77">
        <f>4217.86+12110.58</f>
        <v>16328.439999999999</v>
      </c>
      <c r="L250" s="75">
        <f>[34]Cover!$B$12</f>
        <v>19980</v>
      </c>
      <c r="M250" s="75">
        <f>[35]Cover!B12</f>
        <v>13320</v>
      </c>
      <c r="N250" s="65">
        <f>[35]Cover!C12</f>
        <v>13320</v>
      </c>
      <c r="O250" s="65">
        <f>[35]Cover!D12</f>
        <v>13320</v>
      </c>
      <c r="P250" s="65">
        <f>[35]Cover!E12</f>
        <v>13320</v>
      </c>
      <c r="Q250" s="65">
        <v>0</v>
      </c>
      <c r="R250" s="66"/>
      <c r="S250" s="76"/>
    </row>
    <row r="251" spans="1:24" x14ac:dyDescent="0.2">
      <c r="A251" s="28"/>
      <c r="B251" s="30" t="s">
        <v>67</v>
      </c>
      <c r="C251" s="77">
        <f>2291.11+2658.21</f>
        <v>4949.32</v>
      </c>
      <c r="D251" s="65">
        <v>3750</v>
      </c>
      <c r="E251" s="65">
        <v>5223</v>
      </c>
      <c r="F251" s="65">
        <v>3543.78</v>
      </c>
      <c r="G251" s="65">
        <f>2107.86+1350.32</f>
        <v>3458.1800000000003</v>
      </c>
      <c r="H251" s="65">
        <f>21523.79-H250-H252</f>
        <v>4396.59</v>
      </c>
      <c r="I251" s="66" t="e">
        <f>#REF!+#REF!+#REF!+#REF!+#REF!</f>
        <v>#REF!</v>
      </c>
      <c r="J251" s="66">
        <v>7150</v>
      </c>
      <c r="K251" s="65">
        <f>9213.74+1894.06</f>
        <v>11107.8</v>
      </c>
      <c r="L251" s="75">
        <f>[34]Cover!$B$15+[34]Cover!$B$18+[34]Cover!$B$21+[34]Cover!$B$24+[34]Cover!$B$30</f>
        <v>37277.130000000005</v>
      </c>
      <c r="M251" s="75">
        <f>[35]Cover!$B$15+[35]Cover!$B$18+[35]Cover!$B$21</f>
        <v>22596.44</v>
      </c>
      <c r="N251" s="75">
        <f>[35]Cover!$C$15+[35]Cover!$C$18+[35]Cover!$C$21+[35]Cover!$C$24</f>
        <v>24500</v>
      </c>
      <c r="O251" s="75">
        <f>[35]Cover!$D$15+[35]Cover!$D$18+[35]Cover!$D$21+[35]Cover!$D$24</f>
        <v>24600</v>
      </c>
      <c r="P251" s="75">
        <f>[35]Cover!$E$15+[35]Cover!$E$18+[35]Cover!$E$21+[35]Cover!$E$24</f>
        <v>19100</v>
      </c>
      <c r="Q251" s="65">
        <v>0</v>
      </c>
      <c r="R251" s="66"/>
      <c r="S251" s="76"/>
    </row>
    <row r="252" spans="1:24" x14ac:dyDescent="0.2">
      <c r="A252" s="28"/>
      <c r="B252" s="30" t="s">
        <v>68</v>
      </c>
      <c r="C252" s="79"/>
      <c r="D252" s="71">
        <v>3150</v>
      </c>
      <c r="E252" s="71"/>
      <c r="F252" s="71"/>
      <c r="G252" s="71"/>
      <c r="H252" s="71">
        <v>0</v>
      </c>
      <c r="I252" s="72" t="e">
        <f>#REF!</f>
        <v>#REF!</v>
      </c>
      <c r="J252" s="72">
        <v>0</v>
      </c>
      <c r="K252" s="71">
        <v>5142</v>
      </c>
      <c r="L252" s="80">
        <f>[34]Cover!$B$27</f>
        <v>0</v>
      </c>
      <c r="M252" s="80">
        <f>[35]Cover!B27</f>
        <v>2068.5</v>
      </c>
      <c r="N252" s="71">
        <f>[35]Cover!C27</f>
        <v>1500</v>
      </c>
      <c r="O252" s="71">
        <f>[35]Cover!D27</f>
        <v>22000</v>
      </c>
      <c r="P252" s="71">
        <f>[35]Cover!E27</f>
        <v>0</v>
      </c>
      <c r="Q252" s="71">
        <v>0</v>
      </c>
      <c r="R252" s="66"/>
      <c r="S252" s="76"/>
    </row>
    <row r="253" spans="1:24" x14ac:dyDescent="0.2">
      <c r="A253" s="28">
        <v>34</v>
      </c>
      <c r="B253" s="30" t="s">
        <v>65</v>
      </c>
      <c r="C253" s="77">
        <v>42329.38</v>
      </c>
      <c r="D253" s="65">
        <f t="shared" ref="D253:N253" si="42">SUM(D250:D252)</f>
        <v>37748</v>
      </c>
      <c r="E253" s="61">
        <f t="shared" si="42"/>
        <v>36375</v>
      </c>
      <c r="F253" s="61">
        <f t="shared" si="42"/>
        <v>13342.78</v>
      </c>
      <c r="G253" s="61">
        <f t="shared" si="42"/>
        <v>13203.18</v>
      </c>
      <c r="H253" s="61">
        <f t="shared" si="42"/>
        <v>21523.79</v>
      </c>
      <c r="I253" s="81" t="e">
        <f t="shared" si="42"/>
        <v>#REF!</v>
      </c>
      <c r="J253" s="81">
        <f t="shared" si="42"/>
        <v>21349</v>
      </c>
      <c r="K253" s="61">
        <f t="shared" si="42"/>
        <v>32578.239999999998</v>
      </c>
      <c r="L253" s="75">
        <f t="shared" si="42"/>
        <v>57257.130000000005</v>
      </c>
      <c r="M253" s="75">
        <f>SUM(M250:M252)</f>
        <v>37984.94</v>
      </c>
      <c r="N253" s="61">
        <f t="shared" si="42"/>
        <v>39320</v>
      </c>
      <c r="O253" s="61">
        <f>SUM(O250:O252)</f>
        <v>59920</v>
      </c>
      <c r="P253" s="61">
        <f>SUM(P250:P252)</f>
        <v>32420</v>
      </c>
      <c r="Q253" s="61">
        <f>SUM(Q250:Q252)</f>
        <v>0</v>
      </c>
      <c r="R253" s="63">
        <f>O253-N253</f>
        <v>20600</v>
      </c>
      <c r="S253" s="64">
        <f>R253/N253</f>
        <v>0.52390640895218721</v>
      </c>
      <c r="W253" s="63">
        <f>P253-N253</f>
        <v>-6900</v>
      </c>
      <c r="X253" s="64">
        <f>W253/N253</f>
        <v>-0.17548321464903358</v>
      </c>
    </row>
    <row r="254" spans="1:24" x14ac:dyDescent="0.2">
      <c r="A254" s="26"/>
      <c r="B254" s="27"/>
      <c r="C254" s="51"/>
      <c r="D254" s="59"/>
      <c r="E254" s="59"/>
      <c r="F254" s="65"/>
      <c r="G254" s="65"/>
      <c r="H254" s="65"/>
      <c r="I254" s="66"/>
      <c r="J254" s="66"/>
      <c r="K254" s="59"/>
      <c r="L254" s="41"/>
      <c r="M254" s="41"/>
      <c r="N254" s="59"/>
      <c r="O254" s="59"/>
      <c r="P254" s="59"/>
      <c r="Q254" s="59"/>
      <c r="R254" s="58"/>
    </row>
    <row r="255" spans="1:24" x14ac:dyDescent="0.2">
      <c r="A255" s="28"/>
      <c r="B255" s="29" t="s">
        <v>126</v>
      </c>
      <c r="C255" s="77"/>
      <c r="D255" s="65"/>
      <c r="E255" s="65"/>
      <c r="F255" s="65"/>
      <c r="G255" s="65"/>
      <c r="H255" s="65"/>
      <c r="I255" s="66"/>
      <c r="J255" s="66"/>
      <c r="K255" s="65"/>
      <c r="L255" s="75"/>
      <c r="M255" s="75"/>
      <c r="N255" s="65"/>
      <c r="O255" s="65"/>
      <c r="P255" s="65"/>
      <c r="Q255" s="65"/>
      <c r="R255" s="66"/>
      <c r="S255" s="76"/>
    </row>
    <row r="256" spans="1:24" x14ac:dyDescent="0.2">
      <c r="A256" s="28"/>
      <c r="B256" s="30" t="s">
        <v>67</v>
      </c>
      <c r="C256" s="110">
        <v>61741.65</v>
      </c>
      <c r="D256" s="65">
        <v>52500</v>
      </c>
      <c r="E256" s="110">
        <v>90894</v>
      </c>
      <c r="F256" s="65">
        <v>106866.15</v>
      </c>
      <c r="G256" s="65">
        <f>14704+136000</f>
        <v>150704</v>
      </c>
      <c r="H256" s="65">
        <v>125499.2</v>
      </c>
      <c r="I256" s="66">
        <v>121740</v>
      </c>
      <c r="J256" s="66">
        <v>125000</v>
      </c>
      <c r="K256" s="65">
        <f>502+141272.27</f>
        <v>141774.26999999999</v>
      </c>
      <c r="L256" s="75">
        <f>[36]Cover!$B$15+[36]Cover!$B$18+[36]Cover!$B$21+[36]Cover!$B$24+[36]Cover!$B$30</f>
        <v>159791.5</v>
      </c>
      <c r="M256" s="75">
        <f>[36]Cover!$B$15+[36]Cover!$B$18+[36]Cover!$B$21+[36]Cover!$B$24+[36]Cover!$B$30</f>
        <v>159791.5</v>
      </c>
      <c r="N256" s="65">
        <f>[36]Cover!$C$15+[36]Cover!$C$18+[36]Cover!$C$21+[36]Cover!$C$24+[36]Cover!$C$30</f>
        <v>157000</v>
      </c>
      <c r="O256" s="65">
        <f>[36]Cover!$D$15+[36]Cover!$D$18+[36]Cover!$D$21+[36]Cover!$D$24+[36]Cover!$D$30</f>
        <v>157000</v>
      </c>
      <c r="P256" s="65">
        <f>[36]Cover!$E$15+[36]Cover!$E$18+[36]Cover!$E$21+[36]Cover!$E$24+[36]Cover!$E$30</f>
        <v>147000</v>
      </c>
      <c r="Q256" s="65">
        <v>0</v>
      </c>
      <c r="R256" s="66"/>
      <c r="S256" s="76"/>
    </row>
    <row r="257" spans="1:24" x14ac:dyDescent="0.2">
      <c r="A257" s="28"/>
      <c r="B257" s="30" t="s">
        <v>68</v>
      </c>
      <c r="C257" s="79">
        <v>0</v>
      </c>
      <c r="D257" s="71">
        <v>0</v>
      </c>
      <c r="E257" s="79">
        <v>0</v>
      </c>
      <c r="F257" s="71">
        <v>0</v>
      </c>
      <c r="G257" s="71">
        <v>0</v>
      </c>
      <c r="H257" s="71">
        <v>0</v>
      </c>
      <c r="I257" s="72">
        <v>0</v>
      </c>
      <c r="J257" s="72">
        <v>0</v>
      </c>
      <c r="K257" s="71">
        <v>0</v>
      </c>
      <c r="L257" s="80">
        <f>[36]Cover!$B$27</f>
        <v>0</v>
      </c>
      <c r="M257" s="80">
        <f>[36]Cover!$B$27</f>
        <v>0</v>
      </c>
      <c r="N257" s="71">
        <f>[36]Cover!$C$27</f>
        <v>0</v>
      </c>
      <c r="O257" s="71">
        <f>[36]Cover!$D$27</f>
        <v>0</v>
      </c>
      <c r="P257" s="71">
        <f>[36]Cover!$E$27</f>
        <v>0</v>
      </c>
      <c r="Q257" s="71">
        <v>0</v>
      </c>
      <c r="R257" s="66"/>
      <c r="S257" s="76"/>
    </row>
    <row r="258" spans="1:24" x14ac:dyDescent="0.2">
      <c r="A258" s="28">
        <v>35</v>
      </c>
      <c r="B258" s="30" t="s">
        <v>65</v>
      </c>
      <c r="C258" s="77">
        <f t="shared" ref="C258:N258" si="43">SUM(C256:C257)</f>
        <v>61741.65</v>
      </c>
      <c r="D258" s="77">
        <f t="shared" si="43"/>
        <v>52500</v>
      </c>
      <c r="E258" s="77">
        <f t="shared" si="43"/>
        <v>90894</v>
      </c>
      <c r="F258" s="77">
        <f t="shared" si="43"/>
        <v>106866.15</v>
      </c>
      <c r="G258" s="77">
        <f t="shared" si="43"/>
        <v>150704</v>
      </c>
      <c r="H258" s="77">
        <f t="shared" si="43"/>
        <v>125499.2</v>
      </c>
      <c r="I258" s="78">
        <f t="shared" si="43"/>
        <v>121740</v>
      </c>
      <c r="J258" s="78">
        <f t="shared" si="43"/>
        <v>125000</v>
      </c>
      <c r="K258" s="77">
        <f t="shared" si="43"/>
        <v>141774.26999999999</v>
      </c>
      <c r="L258" s="77">
        <f t="shared" si="43"/>
        <v>159791.5</v>
      </c>
      <c r="M258" s="77">
        <f>SUM(M256:M257)</f>
        <v>159791.5</v>
      </c>
      <c r="N258" s="75">
        <f t="shared" si="43"/>
        <v>157000</v>
      </c>
      <c r="O258" s="75">
        <f>SUM(O256:O257)</f>
        <v>157000</v>
      </c>
      <c r="P258" s="75">
        <f>SUM(P256:P257)</f>
        <v>147000</v>
      </c>
      <c r="Q258" s="75">
        <f>SUM(Q256:Q257)</f>
        <v>0</v>
      </c>
      <c r="R258" s="63">
        <f>O258-N258</f>
        <v>0</v>
      </c>
      <c r="S258" s="64">
        <f>R258/N258</f>
        <v>0</v>
      </c>
      <c r="W258" s="63">
        <f>P258-N258</f>
        <v>-10000</v>
      </c>
      <c r="X258" s="64">
        <f>W258/N258</f>
        <v>-6.3694267515923567E-2</v>
      </c>
    </row>
    <row r="259" spans="1:24" x14ac:dyDescent="0.2">
      <c r="A259" s="28"/>
      <c r="B259" s="30"/>
      <c r="C259" s="77"/>
      <c r="D259" s="65"/>
      <c r="E259" s="65"/>
      <c r="F259" s="65"/>
      <c r="G259" s="65"/>
      <c r="H259" s="65"/>
      <c r="I259" s="66"/>
      <c r="J259" s="66"/>
      <c r="K259" s="65"/>
      <c r="L259" s="75"/>
      <c r="M259" s="75"/>
      <c r="N259" s="65"/>
      <c r="O259" s="65"/>
      <c r="P259" s="65"/>
      <c r="Q259" s="65"/>
      <c r="R259" s="66"/>
      <c r="S259" s="76"/>
    </row>
    <row r="260" spans="1:24" x14ac:dyDescent="0.2">
      <c r="A260" s="25"/>
      <c r="B260" s="14" t="s">
        <v>127</v>
      </c>
      <c r="C260" s="85" t="e">
        <f>SUM(C213,C219,C224,C230,C235,C241,C247,C253,C258,)</f>
        <v>#REF!</v>
      </c>
      <c r="D260" s="85">
        <f t="shared" ref="D260:N260" si="44">SUM(D213,D219,D224,D230,D235,D241,D247,D253,D258)</f>
        <v>1155811</v>
      </c>
      <c r="E260" s="85">
        <f t="shared" si="44"/>
        <v>1310545</v>
      </c>
      <c r="F260" s="86">
        <f t="shared" si="44"/>
        <v>1273532.8599999999</v>
      </c>
      <c r="G260" s="86">
        <f t="shared" si="44"/>
        <v>1607331.16</v>
      </c>
      <c r="H260" s="85">
        <f t="shared" si="44"/>
        <v>1517390.7900000003</v>
      </c>
      <c r="I260" s="63" t="e">
        <f t="shared" si="44"/>
        <v>#REF!</v>
      </c>
      <c r="J260" s="63">
        <f>SUM(J213,J219,J224,J230,J235,J241,J247,J253,J258)</f>
        <v>1769835</v>
      </c>
      <c r="K260" s="85">
        <f t="shared" si="44"/>
        <v>1599771.3800000001</v>
      </c>
      <c r="L260" s="87">
        <f t="shared" si="44"/>
        <v>1967418.3499999996</v>
      </c>
      <c r="M260" s="87">
        <f>SUM(M213,M219,M224,M230,M235,M241,M247,M253,M258)</f>
        <v>1948146.1599999997</v>
      </c>
      <c r="N260" s="85">
        <f t="shared" si="44"/>
        <v>1725434</v>
      </c>
      <c r="O260" s="85">
        <f>SUM(O213,O219,O224,O230,O235,O241,O247,O253,O258)</f>
        <v>1902811</v>
      </c>
      <c r="P260" s="85">
        <f>SUM(P213,P219,P224,P230,P235,P241,P247,P253,P258)</f>
        <v>1734262</v>
      </c>
      <c r="Q260" s="85">
        <f>SUM(Q213,Q219,Q224,Q230,Q235,Q241,Q247,Q253,Q258)</f>
        <v>0</v>
      </c>
      <c r="R260" s="63">
        <f>O260-N260</f>
        <v>177377</v>
      </c>
      <c r="S260" s="64">
        <f>R260/N260</f>
        <v>0.10280138214501396</v>
      </c>
      <c r="V260" s="20" t="b">
        <f>R260=SUM(R213+R219+R224+R230+R235+R241+R247+R253+R258)</f>
        <v>1</v>
      </c>
      <c r="W260" s="63">
        <f>P260-N260</f>
        <v>8828</v>
      </c>
      <c r="X260" s="64">
        <f>W260/N260</f>
        <v>5.1163939043742035E-3</v>
      </c>
    </row>
    <row r="261" spans="1:24" x14ac:dyDescent="0.2">
      <c r="A261" s="25"/>
      <c r="B261" s="27"/>
      <c r="C261" s="88"/>
      <c r="D261" s="85"/>
      <c r="E261" s="59"/>
      <c r="K261" s="59"/>
      <c r="L261" s="41"/>
      <c r="M261" s="41"/>
      <c r="N261" s="41"/>
      <c r="O261" s="41"/>
      <c r="P261" s="41"/>
      <c r="Q261" s="41"/>
      <c r="R261" s="69"/>
    </row>
    <row r="262" spans="1:24" x14ac:dyDescent="0.2">
      <c r="A262" s="25"/>
      <c r="B262" s="14" t="s">
        <v>128</v>
      </c>
      <c r="C262" s="88"/>
      <c r="D262" s="111"/>
      <c r="E262" s="59"/>
      <c r="K262" s="59"/>
      <c r="L262" s="41"/>
      <c r="M262" s="41"/>
      <c r="N262" s="59"/>
      <c r="O262" s="59"/>
      <c r="P262" s="59"/>
      <c r="Q262" s="59"/>
      <c r="R262" s="58"/>
    </row>
    <row r="263" spans="1:24" x14ac:dyDescent="0.2">
      <c r="A263" s="25"/>
      <c r="B263" s="14"/>
      <c r="C263" s="51"/>
      <c r="D263" s="59"/>
      <c r="E263" s="59"/>
      <c r="K263" s="59"/>
      <c r="L263" s="41"/>
      <c r="M263" s="41"/>
      <c r="N263" s="59"/>
      <c r="O263" s="59"/>
      <c r="P263" s="59"/>
      <c r="Q263" s="59"/>
      <c r="R263" s="58"/>
    </row>
    <row r="264" spans="1:24" x14ac:dyDescent="0.2">
      <c r="A264" s="26"/>
      <c r="B264" s="14" t="s">
        <v>129</v>
      </c>
      <c r="C264" s="51"/>
      <c r="D264" s="59"/>
      <c r="E264" s="59"/>
      <c r="K264" s="59"/>
      <c r="L264" s="41"/>
      <c r="M264" s="41"/>
      <c r="N264" s="59"/>
      <c r="O264" s="59"/>
      <c r="P264" s="59"/>
      <c r="Q264" s="59"/>
      <c r="R264" s="58"/>
    </row>
    <row r="265" spans="1:24" x14ac:dyDescent="0.2">
      <c r="A265" s="26"/>
      <c r="B265" s="27" t="s">
        <v>64</v>
      </c>
      <c r="C265" s="51">
        <v>55716.990000000005</v>
      </c>
      <c r="D265" s="51">
        <v>57143</v>
      </c>
      <c r="E265" s="51">
        <v>60781</v>
      </c>
      <c r="F265" s="51">
        <v>62033.03</v>
      </c>
      <c r="G265" s="51">
        <v>64004.98</v>
      </c>
      <c r="H265" s="51">
        <f>7560+23750+35188.05+1473.39+400</f>
        <v>68371.44</v>
      </c>
      <c r="I265" s="68">
        <v>68198</v>
      </c>
      <c r="J265" s="68">
        <v>70567</v>
      </c>
      <c r="K265" s="51">
        <f>5393.81+31101.8+275+584.03</f>
        <v>37354.639999999999</v>
      </c>
      <c r="L265" s="41">
        <f>[37]Cover!$B$12</f>
        <v>43258.27</v>
      </c>
      <c r="M265" s="41">
        <f>[37]Cover!$B$12</f>
        <v>43258.27</v>
      </c>
      <c r="N265" s="41">
        <f>[37]Cover!$C$12</f>
        <v>45094</v>
      </c>
      <c r="O265" s="41">
        <f>[37]Cover!$D$12</f>
        <v>45449</v>
      </c>
      <c r="P265" s="41">
        <f>[37]Cover!$E$12</f>
        <v>42862</v>
      </c>
      <c r="Q265" s="41">
        <v>0</v>
      </c>
      <c r="R265" s="69"/>
    </row>
    <row r="266" spans="1:24" x14ac:dyDescent="0.2">
      <c r="A266" s="26"/>
      <c r="B266" s="27" t="s">
        <v>67</v>
      </c>
      <c r="C266" s="51">
        <f>743.04+300+3446.77</f>
        <v>4489.8099999999995</v>
      </c>
      <c r="D266" s="59">
        <v>2550</v>
      </c>
      <c r="E266" s="59">
        <v>38774</v>
      </c>
      <c r="F266" s="65">
        <v>24133.97</v>
      </c>
      <c r="G266" s="65">
        <f>1583.54+360+22593.07+200+400</f>
        <v>25136.61</v>
      </c>
      <c r="H266" s="65">
        <f>94967.25-H265-H267</f>
        <v>26595.809999999998</v>
      </c>
      <c r="I266" s="66">
        <v>5043.24</v>
      </c>
      <c r="J266" s="66">
        <v>2814</v>
      </c>
      <c r="K266" s="59">
        <f>26810+1720.13+100.5+3587.78+4080+33</f>
        <v>36331.410000000003</v>
      </c>
      <c r="L266" s="41">
        <f>[37]Cover!$B$15+[37]Cover!$B$18+[37]Cover!$B$21+[37]Cover!$B$24+[37]Cover!$B$30</f>
        <v>47771.24</v>
      </c>
      <c r="M266" s="41">
        <f>[37]Cover!$B$15+[37]Cover!$B$18+[37]Cover!$B$21+[37]Cover!$B$24+[37]Cover!$B$30</f>
        <v>47771.24</v>
      </c>
      <c r="N266" s="59">
        <f>[37]Cover!$C$15+[37]Cover!$C$18+[37]Cover!$C$21+[37]Cover!$C$24+[37]Cover!$C$30</f>
        <v>64200</v>
      </c>
      <c r="O266" s="59">
        <f>[37]Cover!$D$15+[37]Cover!$D$18+[37]Cover!$D$21+[37]Cover!$D$24+[37]Cover!$D$30</f>
        <v>64200</v>
      </c>
      <c r="P266" s="59">
        <f>[37]Cover!$E$15+[37]Cover!$E$18+[37]Cover!$E$21+[37]Cover!$E$24+[37]Cover!$E$30</f>
        <v>64200</v>
      </c>
      <c r="Q266" s="59">
        <v>0</v>
      </c>
      <c r="R266" s="58"/>
    </row>
    <row r="267" spans="1:24" x14ac:dyDescent="0.2">
      <c r="A267" s="26"/>
      <c r="B267" s="27" t="s">
        <v>68</v>
      </c>
      <c r="C267" s="56">
        <v>0</v>
      </c>
      <c r="D267" s="70">
        <v>26678</v>
      </c>
      <c r="E267" s="70">
        <v>0</v>
      </c>
      <c r="F267" s="71">
        <v>0</v>
      </c>
      <c r="G267" s="71">
        <v>0</v>
      </c>
      <c r="H267" s="71">
        <v>0</v>
      </c>
      <c r="I267" s="72">
        <v>0</v>
      </c>
      <c r="J267" s="72">
        <v>0</v>
      </c>
      <c r="K267" s="70">
        <v>0</v>
      </c>
      <c r="L267" s="73">
        <f>[37]Cover!$B$27</f>
        <v>0</v>
      </c>
      <c r="M267" s="73">
        <f>[37]Cover!$B$27</f>
        <v>0</v>
      </c>
      <c r="N267" s="70">
        <f>[37]Cover!$C$27</f>
        <v>0</v>
      </c>
      <c r="O267" s="70">
        <f>[37]Cover!$D$27</f>
        <v>0</v>
      </c>
      <c r="P267" s="70">
        <f>[37]Cover!$E$27</f>
        <v>0</v>
      </c>
      <c r="Q267" s="71">
        <v>0</v>
      </c>
      <c r="R267" s="58"/>
    </row>
    <row r="268" spans="1:24" x14ac:dyDescent="0.2">
      <c r="A268" s="26">
        <v>36</v>
      </c>
      <c r="B268" s="27" t="s">
        <v>65</v>
      </c>
      <c r="C268" s="51">
        <v>60206.8</v>
      </c>
      <c r="D268" s="59">
        <f t="shared" ref="D268:N268" si="45">SUM(D265:D267)</f>
        <v>86371</v>
      </c>
      <c r="E268" s="59">
        <f t="shared" si="45"/>
        <v>99555</v>
      </c>
      <c r="F268" s="65">
        <f t="shared" si="45"/>
        <v>86167</v>
      </c>
      <c r="G268" s="65">
        <f t="shared" si="45"/>
        <v>89141.59</v>
      </c>
      <c r="H268" s="59">
        <f t="shared" si="45"/>
        <v>94967.25</v>
      </c>
      <c r="I268" s="58">
        <f t="shared" si="45"/>
        <v>73241.240000000005</v>
      </c>
      <c r="J268" s="58">
        <f t="shared" si="45"/>
        <v>73381</v>
      </c>
      <c r="K268" s="59">
        <f t="shared" si="45"/>
        <v>73686.05</v>
      </c>
      <c r="L268" s="41">
        <f t="shared" si="45"/>
        <v>91029.51</v>
      </c>
      <c r="M268" s="41">
        <f>SUM(M265:M267)</f>
        <v>91029.51</v>
      </c>
      <c r="N268" s="59">
        <f t="shared" si="45"/>
        <v>109294</v>
      </c>
      <c r="O268" s="59">
        <f>SUM(O265:O267)</f>
        <v>109649</v>
      </c>
      <c r="P268" s="59">
        <f>SUM(P265:P267)</f>
        <v>107062</v>
      </c>
      <c r="Q268" s="59">
        <f>SUM(Q265:Q267)</f>
        <v>0</v>
      </c>
      <c r="R268" s="63">
        <f>O268-N268</f>
        <v>355</v>
      </c>
      <c r="S268" s="64">
        <f>R268/N268</f>
        <v>3.2481197503980092E-3</v>
      </c>
      <c r="W268" s="63">
        <f>P268-N268</f>
        <v>-2232</v>
      </c>
      <c r="X268" s="64">
        <f>W268/N268</f>
        <v>-2.0421981078558749E-2</v>
      </c>
    </row>
    <row r="269" spans="1:24" hidden="1" x14ac:dyDescent="0.2">
      <c r="A269" s="26"/>
      <c r="B269" s="27"/>
      <c r="C269" s="51"/>
      <c r="D269" s="59"/>
      <c r="E269" s="59"/>
      <c r="F269" s="65"/>
      <c r="G269" s="65"/>
      <c r="H269" s="65"/>
      <c r="I269" s="66"/>
      <c r="J269" s="66"/>
      <c r="K269" s="59"/>
      <c r="L269" s="41"/>
      <c r="M269" s="41"/>
      <c r="N269" s="59"/>
      <c r="O269" s="59"/>
      <c r="P269" s="59"/>
      <c r="Q269" s="59"/>
      <c r="R269" s="58"/>
    </row>
    <row r="270" spans="1:24" hidden="1" x14ac:dyDescent="0.2">
      <c r="A270" s="28"/>
      <c r="B270" s="29" t="s">
        <v>130</v>
      </c>
      <c r="C270" s="77"/>
      <c r="D270" s="65"/>
      <c r="E270" s="65"/>
      <c r="F270" s="65"/>
      <c r="G270" s="65"/>
      <c r="H270" s="65"/>
      <c r="I270" s="66"/>
      <c r="J270" s="66"/>
      <c r="K270" s="65"/>
      <c r="L270" s="75"/>
      <c r="M270" s="75"/>
      <c r="N270" s="65"/>
      <c r="O270" s="65"/>
      <c r="P270" s="65"/>
      <c r="Q270" s="65"/>
      <c r="R270" s="66"/>
      <c r="S270" s="76"/>
    </row>
    <row r="271" spans="1:24" hidden="1" x14ac:dyDescent="0.2">
      <c r="A271" s="28"/>
      <c r="B271" s="30" t="s">
        <v>67</v>
      </c>
      <c r="C271" s="77">
        <v>29433.18</v>
      </c>
      <c r="D271" s="65">
        <v>32000</v>
      </c>
      <c r="E271" s="77">
        <v>25136</v>
      </c>
      <c r="F271" s="65">
        <v>12856.43</v>
      </c>
      <c r="G271" s="65">
        <f>15145.16+4000</f>
        <v>19145.16</v>
      </c>
      <c r="H271" s="65">
        <v>19128.240000000002</v>
      </c>
      <c r="I271" s="66">
        <v>30457</v>
      </c>
      <c r="J271" s="66">
        <v>9753</v>
      </c>
      <c r="K271" s="65">
        <v>0</v>
      </c>
      <c r="L271" s="75">
        <v>0</v>
      </c>
      <c r="M271" s="75">
        <v>0</v>
      </c>
      <c r="N271" s="75">
        <v>0</v>
      </c>
      <c r="O271" s="75">
        <v>0</v>
      </c>
      <c r="P271" s="75">
        <v>0</v>
      </c>
      <c r="Q271" s="75">
        <v>0</v>
      </c>
      <c r="R271" s="66"/>
      <c r="S271" s="76"/>
    </row>
    <row r="272" spans="1:24" hidden="1" x14ac:dyDescent="0.2">
      <c r="A272" s="28"/>
      <c r="B272" s="30" t="s">
        <v>68</v>
      </c>
      <c r="C272" s="79">
        <v>0</v>
      </c>
      <c r="D272" s="71">
        <v>0</v>
      </c>
      <c r="E272" s="71">
        <v>0</v>
      </c>
      <c r="F272" s="71">
        <v>0</v>
      </c>
      <c r="G272" s="71">
        <v>0</v>
      </c>
      <c r="H272" s="71">
        <v>0</v>
      </c>
      <c r="I272" s="72">
        <v>0</v>
      </c>
      <c r="J272" s="72">
        <v>0</v>
      </c>
      <c r="K272" s="71">
        <v>0</v>
      </c>
      <c r="L272" s="80">
        <v>0</v>
      </c>
      <c r="M272" s="80">
        <v>0</v>
      </c>
      <c r="N272" s="80">
        <v>0</v>
      </c>
      <c r="O272" s="80">
        <v>0</v>
      </c>
      <c r="P272" s="80">
        <v>0</v>
      </c>
      <c r="Q272" s="80">
        <v>0</v>
      </c>
      <c r="R272" s="66"/>
      <c r="S272" s="76"/>
    </row>
    <row r="273" spans="1:24" hidden="1" x14ac:dyDescent="0.2">
      <c r="A273" s="28">
        <v>37</v>
      </c>
      <c r="B273" s="30" t="s">
        <v>65</v>
      </c>
      <c r="C273" s="77">
        <v>29433.18</v>
      </c>
      <c r="D273" s="65">
        <f t="shared" ref="D273:N273" si="46">SUM(D271:D272)</f>
        <v>32000</v>
      </c>
      <c r="E273" s="65">
        <f t="shared" si="46"/>
        <v>25136</v>
      </c>
      <c r="F273" s="65">
        <f t="shared" si="46"/>
        <v>12856.43</v>
      </c>
      <c r="G273" s="65">
        <f t="shared" si="46"/>
        <v>19145.16</v>
      </c>
      <c r="H273" s="65">
        <f t="shared" si="46"/>
        <v>19128.240000000002</v>
      </c>
      <c r="I273" s="66">
        <f t="shared" si="46"/>
        <v>30457</v>
      </c>
      <c r="J273" s="66">
        <f t="shared" si="46"/>
        <v>9753</v>
      </c>
      <c r="K273" s="65">
        <f t="shared" si="46"/>
        <v>0</v>
      </c>
      <c r="L273" s="75">
        <f t="shared" si="46"/>
        <v>0</v>
      </c>
      <c r="M273" s="75">
        <f>SUM(M271:M272)</f>
        <v>0</v>
      </c>
      <c r="N273" s="65">
        <f t="shared" si="46"/>
        <v>0</v>
      </c>
      <c r="O273" s="65">
        <f>SUM(O271:O272)</f>
        <v>0</v>
      </c>
      <c r="P273" s="65">
        <f>SUM(P271:P272)</f>
        <v>0</v>
      </c>
      <c r="Q273" s="65">
        <f>SUM(Q271:Q272)</f>
        <v>0</v>
      </c>
      <c r="R273" s="63">
        <f>O273-N273</f>
        <v>0</v>
      </c>
      <c r="S273" s="64"/>
      <c r="W273" s="63"/>
      <c r="X273" s="64"/>
    </row>
    <row r="274" spans="1:24" x14ac:dyDescent="0.2">
      <c r="A274" s="26"/>
      <c r="B274" s="27"/>
      <c r="C274" s="51"/>
      <c r="D274" s="59"/>
      <c r="E274" s="59"/>
      <c r="F274" s="65"/>
      <c r="G274" s="65"/>
      <c r="H274" s="65"/>
      <c r="I274" s="66"/>
      <c r="J274" s="66"/>
      <c r="K274" s="59"/>
      <c r="L274" s="41"/>
      <c r="M274" s="41"/>
      <c r="N274" s="59"/>
      <c r="O274" s="59"/>
      <c r="P274" s="59"/>
      <c r="Q274" s="59"/>
      <c r="R274" s="58"/>
    </row>
    <row r="275" spans="1:24" x14ac:dyDescent="0.2">
      <c r="A275" s="26"/>
      <c r="B275" s="14" t="s">
        <v>131</v>
      </c>
      <c r="C275" s="51"/>
      <c r="D275" s="59"/>
      <c r="E275" s="59"/>
      <c r="F275" s="65"/>
      <c r="G275" s="65"/>
      <c r="H275" s="65"/>
      <c r="I275" s="66"/>
      <c r="J275" s="66"/>
      <c r="K275" s="59"/>
      <c r="L275" s="41"/>
      <c r="M275" s="41"/>
      <c r="N275" s="59"/>
      <c r="O275" s="59"/>
      <c r="P275" s="59"/>
      <c r="Q275" s="59"/>
      <c r="R275" s="58"/>
    </row>
    <row r="276" spans="1:24" x14ac:dyDescent="0.2">
      <c r="A276" s="26"/>
      <c r="B276" s="27" t="s">
        <v>64</v>
      </c>
      <c r="C276" s="51">
        <v>84600.040000000008</v>
      </c>
      <c r="D276" s="51">
        <v>92110</v>
      </c>
      <c r="E276" s="51">
        <v>95358</v>
      </c>
      <c r="F276" s="51">
        <v>95778.28</v>
      </c>
      <c r="G276" s="51">
        <v>94269.959999999992</v>
      </c>
      <c r="H276" s="51">
        <f>55329+39004.04+0+800+33.98</f>
        <v>95167.02</v>
      </c>
      <c r="I276" s="68">
        <v>99173</v>
      </c>
      <c r="J276" s="68">
        <v>99046</v>
      </c>
      <c r="K276" s="51">
        <f>55329+54159.62+0+800</f>
        <v>110288.62</v>
      </c>
      <c r="L276" s="41">
        <f>[38]Cover!$B$12</f>
        <v>103182.34</v>
      </c>
      <c r="M276" s="41">
        <f>[38]Cover!$B$12</f>
        <v>103182.34</v>
      </c>
      <c r="N276" s="41">
        <f>[38]Cover!$C$12</f>
        <v>108116</v>
      </c>
      <c r="O276" s="41">
        <f>[38]Cover!$D$12</f>
        <v>127538</v>
      </c>
      <c r="P276" s="41">
        <f>[38]Cover!$E$12</f>
        <v>122819</v>
      </c>
      <c r="Q276" s="41">
        <v>0</v>
      </c>
      <c r="R276" s="69"/>
    </row>
    <row r="277" spans="1:24" x14ac:dyDescent="0.2">
      <c r="A277" s="26"/>
      <c r="B277" s="27" t="s">
        <v>67</v>
      </c>
      <c r="C277" s="51">
        <f>2867.28+46.5+19103.06</f>
        <v>22016.84</v>
      </c>
      <c r="D277" s="59">
        <v>3200</v>
      </c>
      <c r="E277" s="59">
        <v>24425</v>
      </c>
      <c r="F277" s="65">
        <v>29593.58</v>
      </c>
      <c r="G277" s="65">
        <f>21358.89+3221.8+1402.81</f>
        <v>25983.5</v>
      </c>
      <c r="H277" s="65">
        <f>125336.5-H276-H278</f>
        <v>30169.479999999996</v>
      </c>
      <c r="I277" s="66">
        <v>29522</v>
      </c>
      <c r="J277" s="66">
        <v>25679</v>
      </c>
      <c r="K277" s="59">
        <f>19653.7+329.24+3201.21+1106.96</f>
        <v>24291.11</v>
      </c>
      <c r="L277" s="41">
        <f>[38]Cover!$B$15+[38]Cover!$B$18+[38]Cover!$B$21+[38]Cover!$B$24+[38]Cover!$B$30</f>
        <v>28337.970000000005</v>
      </c>
      <c r="M277" s="41">
        <f>[38]Cover!$B$15+[38]Cover!$B$18+[38]Cover!$B$21+[38]Cover!$B$24+[38]Cover!$B$30</f>
        <v>28337.970000000005</v>
      </c>
      <c r="N277" s="41">
        <f>[38]Cover!$C$15+[38]Cover!$C$18+[38]Cover!$C$21+[38]Cover!$C$24+[38]Cover!$C$30</f>
        <v>32350</v>
      </c>
      <c r="O277" s="41">
        <f>[38]Cover!$D$15+[38]Cover!$D$18+[38]Cover!$D$21+[38]Cover!$D$24+[38]Cover!$D$30</f>
        <v>31550</v>
      </c>
      <c r="P277" s="41">
        <f>[38]Cover!$E$15+[38]Cover!$E$18+[38]Cover!$E$21+[38]Cover!$E$24+[38]Cover!$E$30</f>
        <v>31550</v>
      </c>
      <c r="Q277" s="41">
        <v>0</v>
      </c>
      <c r="R277" s="69"/>
    </row>
    <row r="278" spans="1:24" x14ac:dyDescent="0.2">
      <c r="A278" s="26"/>
      <c r="B278" s="27" t="s">
        <v>68</v>
      </c>
      <c r="C278" s="56"/>
      <c r="D278" s="70">
        <v>20700</v>
      </c>
      <c r="E278" s="70"/>
      <c r="F278" s="71"/>
      <c r="G278" s="71">
        <v>0</v>
      </c>
      <c r="H278" s="71">
        <v>0</v>
      </c>
      <c r="I278" s="72">
        <v>0</v>
      </c>
      <c r="J278" s="72">
        <v>0</v>
      </c>
      <c r="K278" s="70">
        <v>0</v>
      </c>
      <c r="L278" s="73">
        <f>[38]Cover!$B$27</f>
        <v>0</v>
      </c>
      <c r="M278" s="73">
        <f>[38]Cover!$B$27</f>
        <v>0</v>
      </c>
      <c r="N278" s="73">
        <f>[38]Cover!$C$27</f>
        <v>0</v>
      </c>
      <c r="O278" s="73">
        <f>[38]Cover!$D$27</f>
        <v>0</v>
      </c>
      <c r="P278" s="73">
        <f>[38]Cover!$E$27</f>
        <v>0</v>
      </c>
      <c r="Q278" s="71">
        <v>0</v>
      </c>
      <c r="R278" s="69"/>
    </row>
    <row r="279" spans="1:24" x14ac:dyDescent="0.2">
      <c r="A279" s="26">
        <v>37</v>
      </c>
      <c r="B279" s="27" t="s">
        <v>65</v>
      </c>
      <c r="C279" s="51">
        <v>106616.88</v>
      </c>
      <c r="D279" s="59">
        <f t="shared" ref="D279:N279" si="47">SUM(D276:D278)</f>
        <v>116010</v>
      </c>
      <c r="E279" s="60">
        <f t="shared" si="47"/>
        <v>119783</v>
      </c>
      <c r="F279" s="61">
        <f t="shared" si="47"/>
        <v>125371.86</v>
      </c>
      <c r="G279" s="61">
        <f t="shared" si="47"/>
        <v>120253.45999999999</v>
      </c>
      <c r="H279" s="60">
        <f t="shared" si="47"/>
        <v>125336.5</v>
      </c>
      <c r="I279" s="62">
        <f t="shared" si="47"/>
        <v>128695</v>
      </c>
      <c r="J279" s="62">
        <f t="shared" si="47"/>
        <v>124725</v>
      </c>
      <c r="K279" s="60">
        <f t="shared" si="47"/>
        <v>134579.72999999998</v>
      </c>
      <c r="L279" s="41">
        <f t="shared" si="47"/>
        <v>131520.31</v>
      </c>
      <c r="M279" s="41">
        <f>SUM(M276:M278)</f>
        <v>131520.31</v>
      </c>
      <c r="N279" s="41">
        <f t="shared" si="47"/>
        <v>140466</v>
      </c>
      <c r="O279" s="41">
        <f>SUM(O276:O278)</f>
        <v>159088</v>
      </c>
      <c r="P279" s="41">
        <f>SUM(P276:P278)</f>
        <v>154369</v>
      </c>
      <c r="Q279" s="41">
        <f>SUM(Q276:Q278)</f>
        <v>0</v>
      </c>
      <c r="R279" s="63">
        <f>O279-N279</f>
        <v>18622</v>
      </c>
      <c r="S279" s="64">
        <f>R279/N279</f>
        <v>0.13257300699101562</v>
      </c>
      <c r="W279" s="63">
        <f>P279-N279</f>
        <v>13903</v>
      </c>
      <c r="X279" s="64">
        <f>W279/N279</f>
        <v>9.8977688550966073E-2</v>
      </c>
    </row>
    <row r="280" spans="1:24" x14ac:dyDescent="0.2">
      <c r="A280" s="26"/>
      <c r="B280" s="27"/>
      <c r="C280" s="51"/>
      <c r="D280" s="59"/>
      <c r="E280" s="59"/>
      <c r="F280" s="65"/>
      <c r="G280" s="65"/>
      <c r="H280" s="65"/>
      <c r="I280" s="66"/>
      <c r="J280" s="66"/>
      <c r="K280" s="59"/>
      <c r="L280" s="41"/>
      <c r="M280" s="41"/>
      <c r="N280" s="59"/>
      <c r="O280" s="59" t="s">
        <v>38</v>
      </c>
      <c r="P280" s="59" t="s">
        <v>38</v>
      </c>
      <c r="Q280" s="59"/>
      <c r="R280" s="58"/>
    </row>
    <row r="281" spans="1:24" x14ac:dyDescent="0.2">
      <c r="A281" s="26"/>
      <c r="B281" s="14" t="s">
        <v>132</v>
      </c>
      <c r="C281" s="51"/>
      <c r="D281" s="59"/>
      <c r="E281" s="59"/>
      <c r="F281" s="65"/>
      <c r="G281" s="65"/>
      <c r="H281" s="65"/>
      <c r="I281" s="66"/>
      <c r="J281" s="66"/>
      <c r="K281" s="59"/>
      <c r="L281" s="41"/>
      <c r="M281" s="41"/>
      <c r="N281" s="59"/>
      <c r="O281" s="59"/>
      <c r="P281" s="59"/>
      <c r="Q281" s="59"/>
      <c r="R281" s="58"/>
    </row>
    <row r="282" spans="1:24" x14ac:dyDescent="0.2">
      <c r="A282" s="26"/>
      <c r="B282" s="27" t="s">
        <v>64</v>
      </c>
      <c r="C282" s="51">
        <v>13168.48</v>
      </c>
      <c r="D282" s="51">
        <v>13649</v>
      </c>
      <c r="E282" s="51">
        <v>14257</v>
      </c>
      <c r="F282" s="51">
        <v>14600</v>
      </c>
      <c r="G282" s="51">
        <v>14600</v>
      </c>
      <c r="H282" s="51">
        <v>15038</v>
      </c>
      <c r="I282" s="68">
        <v>14980.16</v>
      </c>
      <c r="J282" s="68">
        <v>15096</v>
      </c>
      <c r="K282" s="51">
        <v>15037.78</v>
      </c>
      <c r="L282" s="41">
        <f>[39]Cover!$B$12</f>
        <v>15911</v>
      </c>
      <c r="M282" s="41">
        <f>[39]Cover!$B$12</f>
        <v>15911</v>
      </c>
      <c r="N282" s="59">
        <f>[39]Cover!$C$12</f>
        <v>16100</v>
      </c>
      <c r="O282" s="59">
        <f>[39]Cover!$D$12</f>
        <v>16261</v>
      </c>
      <c r="P282" s="59">
        <f>[39]Cover!$E$12</f>
        <v>16261</v>
      </c>
      <c r="Q282" s="59">
        <v>0</v>
      </c>
      <c r="R282" s="58"/>
    </row>
    <row r="283" spans="1:24" x14ac:dyDescent="0.2">
      <c r="A283" s="26"/>
      <c r="B283" s="27" t="s">
        <v>67</v>
      </c>
      <c r="C283" s="51">
        <v>40</v>
      </c>
      <c r="D283" s="59">
        <v>150</v>
      </c>
      <c r="E283" s="51">
        <v>45</v>
      </c>
      <c r="F283" s="65">
        <v>49.99</v>
      </c>
      <c r="G283" s="65">
        <v>150</v>
      </c>
      <c r="H283" s="65">
        <v>61.73</v>
      </c>
      <c r="I283" s="66">
        <v>0</v>
      </c>
      <c r="J283" s="66">
        <v>0</v>
      </c>
      <c r="K283" s="59">
        <v>0</v>
      </c>
      <c r="L283" s="41">
        <f>[39]Cover!$B$15+[39]Cover!$B$18+[39]Cover!$B$21+[39]Cover!$B$24+[39]Cover!$B$30</f>
        <v>150000</v>
      </c>
      <c r="M283" s="41">
        <f>[39]Cover!$B$15+[39]Cover!$B$18+[39]Cover!$B$21+[39]Cover!$B$24+[39]Cover!$B$30</f>
        <v>150000</v>
      </c>
      <c r="N283" s="59">
        <f>[39]Cover!$C$15+[39]Cover!$C$18+[39]Cover!$C$21+[39]Cover!$C$24+[39]Cover!$C$30</f>
        <v>150100</v>
      </c>
      <c r="O283" s="59">
        <f>[39]Cover!$D$15+[39]Cover!$D$18+[39]Cover!$D$21+[39]Cover!$D$24+[39]Cover!$D$30</f>
        <v>150335</v>
      </c>
      <c r="P283" s="59">
        <f>[39]Cover!$E$15+[39]Cover!$E$18+[39]Cover!$E$21+[39]Cover!$E$24+[39]Cover!$E$30</f>
        <v>145335</v>
      </c>
      <c r="Q283" s="59">
        <v>0</v>
      </c>
      <c r="R283" s="58"/>
    </row>
    <row r="284" spans="1:24" x14ac:dyDescent="0.2">
      <c r="A284" s="26"/>
      <c r="B284" s="27" t="s">
        <v>133</v>
      </c>
      <c r="C284" s="56">
        <v>44768.74</v>
      </c>
      <c r="D284" s="70">
        <v>73200</v>
      </c>
      <c r="E284" s="56">
        <v>76543</v>
      </c>
      <c r="F284" s="71">
        <v>77630.740000000005</v>
      </c>
      <c r="G284" s="71">
        <f>86192.42+2350</f>
        <v>88542.42</v>
      </c>
      <c r="H284" s="71">
        <v>135363.68</v>
      </c>
      <c r="I284" s="72">
        <v>113592.64</v>
      </c>
      <c r="J284" s="72">
        <v>157500</v>
      </c>
      <c r="K284" s="70">
        <f>145173.69+2826.32</f>
        <v>148000.01</v>
      </c>
      <c r="L284" s="73">
        <f>[39]Cover!$B$27</f>
        <v>0</v>
      </c>
      <c r="M284" s="73">
        <f>[39]Cover!$B$27</f>
        <v>0</v>
      </c>
      <c r="N284" s="70">
        <f>[39]Cover!$C$27</f>
        <v>0</v>
      </c>
      <c r="O284" s="70">
        <f>[39]Cover!$D$27</f>
        <v>0</v>
      </c>
      <c r="P284" s="70">
        <f>[39]Cover!$E$27</f>
        <v>0</v>
      </c>
      <c r="Q284" s="71">
        <v>0</v>
      </c>
      <c r="R284" s="58"/>
    </row>
    <row r="285" spans="1:24" x14ac:dyDescent="0.2">
      <c r="A285" s="26">
        <v>38</v>
      </c>
      <c r="B285" s="27" t="s">
        <v>65</v>
      </c>
      <c r="C285" s="51">
        <v>57977.22</v>
      </c>
      <c r="D285" s="59">
        <f t="shared" ref="D285:N285" si="48">SUM(D282:D284)</f>
        <v>86999</v>
      </c>
      <c r="E285" s="60">
        <f t="shared" si="48"/>
        <v>90845</v>
      </c>
      <c r="F285" s="61">
        <f t="shared" si="48"/>
        <v>92280.73000000001</v>
      </c>
      <c r="G285" s="61">
        <f t="shared" si="48"/>
        <v>103292.42</v>
      </c>
      <c r="H285" s="60">
        <f t="shared" si="48"/>
        <v>150463.41</v>
      </c>
      <c r="I285" s="62">
        <f t="shared" si="48"/>
        <v>128572.8</v>
      </c>
      <c r="J285" s="62">
        <f t="shared" si="48"/>
        <v>172596</v>
      </c>
      <c r="K285" s="60">
        <f t="shared" si="48"/>
        <v>163037.79</v>
      </c>
      <c r="L285" s="41">
        <f t="shared" si="48"/>
        <v>165911</v>
      </c>
      <c r="M285" s="41">
        <f>SUM(M282:M284)</f>
        <v>165911</v>
      </c>
      <c r="N285" s="60">
        <f t="shared" si="48"/>
        <v>166200</v>
      </c>
      <c r="O285" s="60">
        <f>SUM(O282:O284)</f>
        <v>166596</v>
      </c>
      <c r="P285" s="60">
        <f>SUM(P282:P284)</f>
        <v>161596</v>
      </c>
      <c r="Q285" s="60">
        <f>SUM(Q282:Q284)</f>
        <v>0</v>
      </c>
      <c r="R285" s="63">
        <f>O285-N285</f>
        <v>396</v>
      </c>
      <c r="S285" s="64">
        <f>R285/N285</f>
        <v>2.3826714801444045E-3</v>
      </c>
      <c r="W285" s="63">
        <f>P285-N285</f>
        <v>-4604</v>
      </c>
      <c r="X285" s="64">
        <f>W285/N285</f>
        <v>-2.7701564380264741E-2</v>
      </c>
    </row>
    <row r="286" spans="1:24" x14ac:dyDescent="0.2">
      <c r="A286" s="26"/>
      <c r="B286" s="27"/>
      <c r="C286" s="51"/>
      <c r="D286" s="59"/>
      <c r="E286" s="60"/>
      <c r="F286" s="61"/>
      <c r="G286" s="61"/>
      <c r="H286" s="61"/>
      <c r="I286" s="81"/>
      <c r="J286" s="81"/>
      <c r="K286" s="60"/>
      <c r="L286" s="41"/>
      <c r="M286" s="41"/>
      <c r="N286" s="60"/>
      <c r="O286" s="60"/>
      <c r="P286" s="60"/>
      <c r="Q286" s="60"/>
      <c r="R286" s="62"/>
    </row>
    <row r="287" spans="1:24" x14ac:dyDescent="0.2">
      <c r="A287" s="26"/>
      <c r="B287" s="14" t="s">
        <v>134</v>
      </c>
      <c r="C287" s="51"/>
      <c r="D287" s="59"/>
      <c r="E287" s="59"/>
      <c r="F287" s="65"/>
      <c r="G287" s="65"/>
      <c r="H287" s="65"/>
      <c r="I287" s="66"/>
      <c r="J287" s="66"/>
      <c r="K287" s="59"/>
      <c r="L287" s="41"/>
      <c r="M287" s="41"/>
      <c r="N287" s="59"/>
      <c r="O287" s="59"/>
      <c r="P287" s="59"/>
      <c r="Q287" s="59"/>
      <c r="R287" s="58"/>
    </row>
    <row r="288" spans="1:24" x14ac:dyDescent="0.2">
      <c r="A288" s="26"/>
      <c r="B288" s="27" t="s">
        <v>67</v>
      </c>
      <c r="C288" s="51">
        <v>0</v>
      </c>
      <c r="D288" s="59">
        <v>1000</v>
      </c>
      <c r="E288" s="59">
        <v>227</v>
      </c>
      <c r="F288" s="65">
        <v>0</v>
      </c>
      <c r="G288" s="65">
        <v>0</v>
      </c>
      <c r="H288" s="65">
        <v>0</v>
      </c>
      <c r="I288" s="66">
        <v>0</v>
      </c>
      <c r="J288" s="66">
        <v>0</v>
      </c>
      <c r="K288" s="59">
        <v>0</v>
      </c>
      <c r="L288" s="41">
        <f>[40]Cover!$B$15+[40]Cover!$B$18+[40]Cover!$B$21+[40]Cover!$B$24+[40]Cover!$B$30</f>
        <v>102.98</v>
      </c>
      <c r="M288" s="41">
        <f>[40]Cover!$B$15+[40]Cover!$B$18+[40]Cover!$B$21+[40]Cover!$B$24+[40]Cover!$B$30</f>
        <v>102.98</v>
      </c>
      <c r="N288" s="59">
        <f>[40]Cover!$C$15+[40]Cover!$C$18+[40]Cover!$C$21+[40]Cover!$C$24+[40]Cover!$C$30</f>
        <v>500</v>
      </c>
      <c r="O288" s="59">
        <f>[40]Cover!$D$15+[40]Cover!$D$18+[40]Cover!$D$21+[40]Cover!$D$24+[40]Cover!$D$30</f>
        <v>500</v>
      </c>
      <c r="P288" s="59">
        <f>[40]Cover!$E$15+[40]Cover!$E$18+[40]Cover!$E$21+[40]Cover!$E$24+[40]Cover!$E$30</f>
        <v>500</v>
      </c>
      <c r="Q288" s="59">
        <v>0</v>
      </c>
      <c r="R288" s="58"/>
    </row>
    <row r="289" spans="1:24" x14ac:dyDescent="0.2">
      <c r="A289" s="26"/>
      <c r="B289" s="27" t="s">
        <v>68</v>
      </c>
      <c r="C289" s="56">
        <v>0</v>
      </c>
      <c r="D289" s="70">
        <v>0</v>
      </c>
      <c r="E289" s="70"/>
      <c r="F289" s="71"/>
      <c r="G289" s="71">
        <v>0</v>
      </c>
      <c r="H289" s="71">
        <v>0</v>
      </c>
      <c r="I289" s="72">
        <v>0</v>
      </c>
      <c r="J289" s="72">
        <v>0</v>
      </c>
      <c r="K289" s="70">
        <v>0</v>
      </c>
      <c r="L289" s="73">
        <f>[40]Cover!$B$27</f>
        <v>0</v>
      </c>
      <c r="M289" s="73">
        <f>[40]Cover!$B$27</f>
        <v>0</v>
      </c>
      <c r="N289" s="70">
        <f>[40]Cover!$C$27</f>
        <v>0</v>
      </c>
      <c r="O289" s="70">
        <f>[40]Cover!$D$27</f>
        <v>0</v>
      </c>
      <c r="P289" s="70">
        <f>[40]Cover!$E$27</f>
        <v>0</v>
      </c>
      <c r="Q289" s="71">
        <v>0</v>
      </c>
      <c r="R289" s="58"/>
    </row>
    <row r="290" spans="1:24" x14ac:dyDescent="0.2">
      <c r="A290" s="26">
        <v>39</v>
      </c>
      <c r="B290" s="27" t="s">
        <v>65</v>
      </c>
      <c r="C290" s="59">
        <f>SUM(C288:C289)</f>
        <v>0</v>
      </c>
      <c r="D290" s="59">
        <f>SUM(D288:D289)</f>
        <v>1000</v>
      </c>
      <c r="E290" s="59">
        <f>SUM(E288:E289)</f>
        <v>227</v>
      </c>
      <c r="F290" s="65">
        <f>SUM(F288:F289)</f>
        <v>0</v>
      </c>
      <c r="G290" s="65">
        <f>SUM(G288:G289)</f>
        <v>0</v>
      </c>
      <c r="H290" s="65"/>
      <c r="I290" s="66"/>
      <c r="J290" s="58">
        <f t="shared" ref="J290:Q290" si="49">SUM(J288:J289)</f>
        <v>0</v>
      </c>
      <c r="K290" s="59">
        <f t="shared" si="49"/>
        <v>0</v>
      </c>
      <c r="L290" s="41">
        <f t="shared" si="49"/>
        <v>102.98</v>
      </c>
      <c r="M290" s="41">
        <f>SUM(M288:M289)</f>
        <v>102.98</v>
      </c>
      <c r="N290" s="59">
        <f t="shared" si="49"/>
        <v>500</v>
      </c>
      <c r="O290" s="59">
        <f t="shared" si="49"/>
        <v>500</v>
      </c>
      <c r="P290" s="59">
        <f>SUM(P288:P289)</f>
        <v>500</v>
      </c>
      <c r="Q290" s="59">
        <f t="shared" si="49"/>
        <v>0</v>
      </c>
      <c r="R290" s="63">
        <f>O290-N290</f>
        <v>0</v>
      </c>
      <c r="S290" s="64">
        <f>R290/N290</f>
        <v>0</v>
      </c>
      <c r="W290" s="63">
        <f>P290-N290</f>
        <v>0</v>
      </c>
      <c r="X290" s="64">
        <f>W290/N290</f>
        <v>0</v>
      </c>
    </row>
    <row r="291" spans="1:24" x14ac:dyDescent="0.2">
      <c r="A291" s="26"/>
      <c r="B291" s="27"/>
      <c r="C291" s="51"/>
      <c r="D291" s="59"/>
      <c r="E291" s="59"/>
      <c r="F291" s="65"/>
      <c r="G291" s="65"/>
      <c r="H291" s="65"/>
      <c r="I291" s="66"/>
      <c r="J291" s="66"/>
      <c r="K291" s="59"/>
      <c r="L291" s="41"/>
      <c r="M291" s="41"/>
      <c r="N291" s="59"/>
      <c r="O291" s="59"/>
      <c r="P291" s="59"/>
      <c r="Q291" s="59"/>
      <c r="R291" s="58"/>
    </row>
    <row r="292" spans="1:24" x14ac:dyDescent="0.2">
      <c r="A292" s="26"/>
      <c r="B292" s="14" t="s">
        <v>135</v>
      </c>
      <c r="C292" s="85">
        <f t="shared" ref="C292:N292" si="50">SUM(C268,C273,C279,C285,C290)</f>
        <v>254234.08000000002</v>
      </c>
      <c r="D292" s="85">
        <f t="shared" si="50"/>
        <v>322380</v>
      </c>
      <c r="E292" s="85">
        <f t="shared" si="50"/>
        <v>335546</v>
      </c>
      <c r="F292" s="86">
        <f t="shared" si="50"/>
        <v>316676.02</v>
      </c>
      <c r="G292" s="86">
        <f t="shared" si="50"/>
        <v>331832.63</v>
      </c>
      <c r="H292" s="85">
        <f t="shared" si="50"/>
        <v>389895.4</v>
      </c>
      <c r="I292" s="63">
        <f t="shared" si="50"/>
        <v>360966.04</v>
      </c>
      <c r="J292" s="63">
        <f t="shared" si="50"/>
        <v>380455</v>
      </c>
      <c r="K292" s="85">
        <f t="shared" si="50"/>
        <v>371303.56999999995</v>
      </c>
      <c r="L292" s="87">
        <f t="shared" si="50"/>
        <v>388563.8</v>
      </c>
      <c r="M292" s="87">
        <f>SUM(M268,M273,M279,M285,M290)</f>
        <v>388563.8</v>
      </c>
      <c r="N292" s="87">
        <f t="shared" si="50"/>
        <v>416460</v>
      </c>
      <c r="O292" s="85">
        <f>SUM(O268,O273,O279,O285,O290)</f>
        <v>435833</v>
      </c>
      <c r="P292" s="85">
        <f>SUM(P268,P273,P279,P285,P290)</f>
        <v>423527</v>
      </c>
      <c r="Q292" s="85">
        <f>SUM(Q268,Q273,Q279,Q285,Q290)</f>
        <v>0</v>
      </c>
      <c r="R292" s="63">
        <f>O292-N292</f>
        <v>19373</v>
      </c>
      <c r="S292" s="64">
        <f>R292/N292</f>
        <v>4.6518273063439468E-2</v>
      </c>
      <c r="V292" s="20" t="b">
        <f>R292=SUM(R268+R273+R279+R285+R290)</f>
        <v>1</v>
      </c>
      <c r="W292" s="63">
        <f>P292-N292</f>
        <v>7067</v>
      </c>
      <c r="X292" s="64">
        <f>W292/N292</f>
        <v>1.6969216731498822E-2</v>
      </c>
    </row>
    <row r="293" spans="1:24" x14ac:dyDescent="0.2">
      <c r="A293" s="25"/>
      <c r="B293" s="27"/>
      <c r="C293" s="88"/>
      <c r="D293" s="85"/>
      <c r="E293" s="59"/>
      <c r="K293" s="59"/>
      <c r="L293" s="41"/>
      <c r="M293" s="41"/>
      <c r="N293" s="41"/>
      <c r="O293" s="41"/>
      <c r="P293" s="41"/>
      <c r="Q293" s="41"/>
      <c r="R293" s="69"/>
    </row>
    <row r="294" spans="1:24" x14ac:dyDescent="0.2">
      <c r="A294" s="26"/>
      <c r="B294" s="14" t="s">
        <v>136</v>
      </c>
      <c r="C294" s="88"/>
      <c r="D294" s="85"/>
      <c r="E294" s="59"/>
      <c r="K294" s="59"/>
      <c r="L294" s="41"/>
      <c r="M294" s="41"/>
      <c r="N294" s="59"/>
      <c r="O294" s="59"/>
      <c r="P294" s="59"/>
      <c r="Q294" s="59"/>
      <c r="R294" s="58"/>
    </row>
    <row r="295" spans="1:24" x14ac:dyDescent="0.2">
      <c r="A295" s="26"/>
      <c r="B295" s="14"/>
      <c r="C295" s="51"/>
      <c r="D295" s="59"/>
      <c r="E295" s="59"/>
      <c r="K295" s="59"/>
      <c r="L295" s="41"/>
      <c r="M295" s="41"/>
      <c r="N295" s="59"/>
      <c r="O295" s="59"/>
      <c r="P295" s="59"/>
      <c r="Q295" s="59"/>
      <c r="R295" s="58"/>
    </row>
    <row r="296" spans="1:24" x14ac:dyDescent="0.2">
      <c r="A296" s="26"/>
      <c r="B296" s="14" t="s">
        <v>137</v>
      </c>
      <c r="C296" s="51"/>
      <c r="D296" s="59"/>
      <c r="E296" s="59"/>
      <c r="F296" s="65"/>
      <c r="G296" s="65"/>
      <c r="L296" s="41"/>
      <c r="M296" s="41"/>
      <c r="N296" s="59"/>
      <c r="O296" s="59"/>
      <c r="P296" s="59"/>
      <c r="Q296" s="59"/>
      <c r="R296" s="58"/>
    </row>
    <row r="297" spans="1:24" x14ac:dyDescent="0.2">
      <c r="A297" s="26"/>
      <c r="B297" s="27" t="s">
        <v>64</v>
      </c>
      <c r="C297" s="51">
        <v>227989.95</v>
      </c>
      <c r="D297" s="51">
        <v>235230</v>
      </c>
      <c r="E297" s="51">
        <v>197470</v>
      </c>
      <c r="F297" s="51">
        <v>208639.52</v>
      </c>
      <c r="G297" s="51">
        <v>206144.91</v>
      </c>
      <c r="H297" s="65">
        <f>58306.4+84646.41+62912.5+250+224.88</f>
        <v>206340.19</v>
      </c>
      <c r="I297" s="66">
        <v>194171</v>
      </c>
      <c r="J297" s="66">
        <v>191273</v>
      </c>
      <c r="K297" s="59">
        <f>58865+87051.25+51491.72+650</f>
        <v>198057.97</v>
      </c>
      <c r="L297" s="41">
        <f>[41]Cover!$B$12</f>
        <v>208675.03</v>
      </c>
      <c r="M297" s="41">
        <f>[41]Cover!$B$12</f>
        <v>208675.03</v>
      </c>
      <c r="N297" s="59">
        <f>[41]Cover!$C$12</f>
        <v>211838</v>
      </c>
      <c r="O297" s="59">
        <f>[41]Cover!$D$12</f>
        <v>214635</v>
      </c>
      <c r="P297" s="59">
        <f>[41]Cover!$E$12</f>
        <v>214654</v>
      </c>
      <c r="Q297" s="59">
        <v>0</v>
      </c>
      <c r="R297" s="58"/>
    </row>
    <row r="298" spans="1:24" x14ac:dyDescent="0.2">
      <c r="A298" s="26"/>
      <c r="B298" s="27" t="s">
        <v>67</v>
      </c>
      <c r="C298" s="51">
        <f>48794.37+40.27+224.45+35494.78</f>
        <v>84553.87</v>
      </c>
      <c r="D298" s="59">
        <v>57169</v>
      </c>
      <c r="E298" s="59">
        <v>169460</v>
      </c>
      <c r="F298" s="65">
        <v>140117.15</v>
      </c>
      <c r="G298" s="65">
        <f>83088.62+180+66818.22+345</f>
        <v>150431.84</v>
      </c>
      <c r="H298" s="65">
        <f>362337.52-H297-H299</f>
        <v>94206.860000000015</v>
      </c>
      <c r="I298" s="66">
        <v>94559</v>
      </c>
      <c r="J298" s="66">
        <v>91535</v>
      </c>
      <c r="K298" s="51">
        <f>76261.29+6725+8732+90</f>
        <v>91808.29</v>
      </c>
      <c r="L298" s="41">
        <f>[41]Cover!$B$15+[41]Cover!$B$18+[41]Cover!$B$21+[41]Cover!$B$24+[41]Cover!$B$30</f>
        <v>89952.959999999992</v>
      </c>
      <c r="M298" s="41">
        <f>[41]Cover!$B$15+[41]Cover!$B$18+[41]Cover!$B$21+[41]Cover!$B$24+[41]Cover!$B$30</f>
        <v>89952.959999999992</v>
      </c>
      <c r="N298" s="59">
        <f>[41]Cover!$C$15+[41]Cover!$C$18+[41]Cover!$C$21+[41]Cover!$C$24+[41]Cover!$C$30</f>
        <v>95314</v>
      </c>
      <c r="O298" s="59">
        <f>[41]Cover!$D$15+[41]Cover!$D$18+[41]Cover!$D$21+[41]Cover!$D$24+[41]Cover!$D$30</f>
        <v>96221</v>
      </c>
      <c r="P298" s="59">
        <f>[41]Cover!$E$15+[41]Cover!$E$18+[41]Cover!$E$21+[41]Cover!$E$24+[41]Cover!$E$30</f>
        <v>96221</v>
      </c>
      <c r="Q298" s="59">
        <v>0</v>
      </c>
      <c r="R298" s="58"/>
    </row>
    <row r="299" spans="1:24" x14ac:dyDescent="0.2">
      <c r="A299" s="26"/>
      <c r="B299" s="27" t="s">
        <v>68</v>
      </c>
      <c r="C299" s="56"/>
      <c r="D299" s="70">
        <v>41240</v>
      </c>
      <c r="E299" s="70"/>
      <c r="F299" s="71"/>
      <c r="G299" s="71">
        <v>0</v>
      </c>
      <c r="H299" s="71">
        <v>61790.47</v>
      </c>
      <c r="I299" s="72">
        <v>60519</v>
      </c>
      <c r="J299" s="72">
        <v>61000</v>
      </c>
      <c r="K299" s="70">
        <v>61000</v>
      </c>
      <c r="L299" s="73">
        <f>[41]Cover!$B$27</f>
        <v>61000</v>
      </c>
      <c r="M299" s="73">
        <f>[41]Cover!$B$27</f>
        <v>61000</v>
      </c>
      <c r="N299" s="70">
        <f>[41]Cover!$C$27</f>
        <v>61000</v>
      </c>
      <c r="O299" s="70">
        <f>[41]Cover!$D$27</f>
        <v>61000</v>
      </c>
      <c r="P299" s="70">
        <f>[41]Cover!$E$27</f>
        <v>61000</v>
      </c>
      <c r="Q299" s="71">
        <v>0</v>
      </c>
      <c r="R299" s="58"/>
    </row>
    <row r="300" spans="1:24" x14ac:dyDescent="0.2">
      <c r="A300" s="26">
        <v>40</v>
      </c>
      <c r="B300" s="27" t="s">
        <v>65</v>
      </c>
      <c r="C300" s="51">
        <v>312543.82</v>
      </c>
      <c r="D300" s="59">
        <f t="shared" ref="D300:N300" si="51">SUM(D297:D299)</f>
        <v>333639</v>
      </c>
      <c r="E300" s="60">
        <f t="shared" si="51"/>
        <v>366930</v>
      </c>
      <c r="F300" s="61">
        <f t="shared" si="51"/>
        <v>348756.67</v>
      </c>
      <c r="G300" s="61">
        <f t="shared" si="51"/>
        <v>356576.75</v>
      </c>
      <c r="H300" s="60">
        <f t="shared" si="51"/>
        <v>362337.52</v>
      </c>
      <c r="I300" s="62">
        <f t="shared" si="51"/>
        <v>349249</v>
      </c>
      <c r="J300" s="62">
        <f t="shared" si="51"/>
        <v>343808</v>
      </c>
      <c r="K300" s="60">
        <f t="shared" si="51"/>
        <v>350866.26</v>
      </c>
      <c r="L300" s="41">
        <f t="shared" si="51"/>
        <v>359627.99</v>
      </c>
      <c r="M300" s="41">
        <f>SUM(M297:M299)</f>
        <v>359627.99</v>
      </c>
      <c r="N300" s="60">
        <f t="shared" si="51"/>
        <v>368152</v>
      </c>
      <c r="O300" s="60">
        <f>SUM(O297:O299)</f>
        <v>371856</v>
      </c>
      <c r="P300" s="60">
        <f>SUM(P297:P299)</f>
        <v>371875</v>
      </c>
      <c r="Q300" s="60">
        <f>SUM(Q297:Q299)</f>
        <v>0</v>
      </c>
      <c r="R300" s="63">
        <f>O300-N300</f>
        <v>3704</v>
      </c>
      <c r="S300" s="64">
        <f>R300/N300</f>
        <v>1.0061061735370172E-2</v>
      </c>
      <c r="W300" s="63">
        <f>P300-N300</f>
        <v>3723</v>
      </c>
      <c r="X300" s="64">
        <f>W300/N300</f>
        <v>1.0112670853343185E-2</v>
      </c>
    </row>
    <row r="301" spans="1:24" x14ac:dyDescent="0.2">
      <c r="A301" s="26"/>
      <c r="B301" s="27"/>
      <c r="C301" s="51"/>
      <c r="D301" s="59"/>
      <c r="E301" s="59"/>
      <c r="F301" s="65"/>
      <c r="G301" s="65"/>
      <c r="H301" s="65"/>
      <c r="I301" s="66"/>
      <c r="J301" s="66"/>
      <c r="K301" s="59"/>
      <c r="L301" s="41"/>
      <c r="M301" s="41"/>
      <c r="N301" s="41"/>
      <c r="O301" s="41"/>
      <c r="P301" s="41"/>
      <c r="Q301" s="41"/>
      <c r="R301" s="69"/>
    </row>
    <row r="302" spans="1:24" x14ac:dyDescent="0.2">
      <c r="A302" s="28"/>
      <c r="B302" s="29" t="s">
        <v>138</v>
      </c>
      <c r="C302" s="77"/>
      <c r="D302" s="65"/>
      <c r="E302" s="65"/>
      <c r="F302" s="65"/>
      <c r="G302" s="65"/>
      <c r="H302" s="65"/>
      <c r="I302" s="66"/>
      <c r="J302" s="66"/>
      <c r="K302" s="65"/>
      <c r="L302" s="75"/>
      <c r="M302" s="75"/>
      <c r="N302" s="65"/>
      <c r="O302" s="65"/>
      <c r="P302" s="65"/>
      <c r="Q302" s="65"/>
      <c r="R302" s="66"/>
      <c r="S302" s="76"/>
    </row>
    <row r="303" spans="1:24" x14ac:dyDescent="0.2">
      <c r="A303" s="28"/>
      <c r="B303" s="30" t="s">
        <v>64</v>
      </c>
      <c r="C303" s="77">
        <v>59450.47</v>
      </c>
      <c r="D303" s="77">
        <v>0</v>
      </c>
      <c r="E303" s="77" t="e">
        <v>#REF!</v>
      </c>
      <c r="F303" s="77">
        <v>2400</v>
      </c>
      <c r="G303" s="77">
        <v>2200</v>
      </c>
      <c r="H303" s="77">
        <v>1715</v>
      </c>
      <c r="I303" s="78">
        <v>1535</v>
      </c>
      <c r="J303" s="78">
        <v>1175</v>
      </c>
      <c r="K303" s="77">
        <v>22.5</v>
      </c>
      <c r="L303" s="112">
        <f>[42]Cover!$B$12</f>
        <v>0</v>
      </c>
      <c r="M303" s="112">
        <f>[42]Cover!$B$12</f>
        <v>0</v>
      </c>
      <c r="N303" s="74">
        <f>[42]Cover!$C$12</f>
        <v>1000</v>
      </c>
      <c r="O303" s="74">
        <f>[42]Cover!$D$12</f>
        <v>1000</v>
      </c>
      <c r="P303" s="74">
        <f>[42]Cover!$E$12</f>
        <v>1000</v>
      </c>
      <c r="Q303" s="74">
        <v>0</v>
      </c>
      <c r="R303" s="84"/>
      <c r="S303" s="76"/>
    </row>
    <row r="304" spans="1:24" x14ac:dyDescent="0.2">
      <c r="A304" s="28"/>
      <c r="B304" s="30" t="s">
        <v>67</v>
      </c>
      <c r="C304" s="77">
        <f>14143.82+12460.36</f>
        <v>26604.18</v>
      </c>
      <c r="D304" s="65">
        <v>0</v>
      </c>
      <c r="E304" s="65"/>
      <c r="F304" s="74">
        <v>344.5</v>
      </c>
      <c r="G304" s="74">
        <v>0</v>
      </c>
      <c r="H304" s="74">
        <f>2230.64-H303-H305</f>
        <v>515.63999999999987</v>
      </c>
      <c r="I304" s="84">
        <v>705</v>
      </c>
      <c r="J304" s="84">
        <v>629</v>
      </c>
      <c r="K304" s="112">
        <v>432.3</v>
      </c>
      <c r="L304" s="112">
        <f>[42]Cover!$B$15+[42]Cover!$B$18+[42]Cover!$B$21+[42]Cover!$B$24+[42]Cover!$B$30</f>
        <v>0</v>
      </c>
      <c r="M304" s="112">
        <f>[42]Cover!$B$15+[42]Cover!$B$18+[42]Cover!$B$21+[42]Cover!$B$24+[42]Cover!$B$30</f>
        <v>0</v>
      </c>
      <c r="N304" s="112">
        <f>[42]Cover!$C$15+[42]Cover!$C$18+[42]Cover!$C$21+[42]Cover!$C$24+[42]Cover!$C$30</f>
        <v>700</v>
      </c>
      <c r="O304" s="112">
        <f>[42]Cover!$D$15+[42]Cover!$D$18+[42]Cover!$D$21+[42]Cover!$D$24+[42]Cover!$D$30</f>
        <v>700</v>
      </c>
      <c r="P304" s="112">
        <f>[42]Cover!$E$15+[42]Cover!$E$18+[42]Cover!$E$21+[42]Cover!$E$24+[42]Cover!$E$30</f>
        <v>700</v>
      </c>
      <c r="Q304" s="112">
        <v>0</v>
      </c>
      <c r="R304" s="113"/>
      <c r="S304" s="76"/>
    </row>
    <row r="305" spans="1:24" x14ac:dyDescent="0.2">
      <c r="A305" s="28"/>
      <c r="B305" s="30" t="s">
        <v>68</v>
      </c>
      <c r="C305" s="79"/>
      <c r="D305" s="71"/>
      <c r="E305" s="71">
        <v>0</v>
      </c>
      <c r="F305" s="71"/>
      <c r="G305" s="71">
        <v>0</v>
      </c>
      <c r="H305" s="71">
        <v>0</v>
      </c>
      <c r="I305" s="72">
        <v>0</v>
      </c>
      <c r="J305" s="72">
        <v>0</v>
      </c>
      <c r="K305" s="71">
        <v>0</v>
      </c>
      <c r="L305" s="80">
        <f>[42]Cover!$B$27</f>
        <v>0</v>
      </c>
      <c r="M305" s="80">
        <f>[42]Cover!$B$27</f>
        <v>0</v>
      </c>
      <c r="N305" s="71">
        <f>[42]Cover!$C$27</f>
        <v>0</v>
      </c>
      <c r="O305" s="71">
        <f>[42]Cover!$D$27</f>
        <v>0</v>
      </c>
      <c r="P305" s="71">
        <f>[42]Cover!$E$27</f>
        <v>0</v>
      </c>
      <c r="Q305" s="71">
        <v>0</v>
      </c>
      <c r="R305" s="66"/>
      <c r="S305" s="76"/>
    </row>
    <row r="306" spans="1:24" x14ac:dyDescent="0.2">
      <c r="A306" s="28">
        <v>41</v>
      </c>
      <c r="B306" s="30" t="s">
        <v>65</v>
      </c>
      <c r="C306" s="77">
        <f t="shared" ref="C306:N306" si="52">SUM(C303:C305)</f>
        <v>86054.65</v>
      </c>
      <c r="D306" s="77">
        <f t="shared" si="52"/>
        <v>0</v>
      </c>
      <c r="E306" s="77" t="e">
        <f t="shared" si="52"/>
        <v>#REF!</v>
      </c>
      <c r="F306" s="77">
        <f t="shared" si="52"/>
        <v>2744.5</v>
      </c>
      <c r="G306" s="77">
        <f t="shared" si="52"/>
        <v>2200</v>
      </c>
      <c r="H306" s="77">
        <f t="shared" si="52"/>
        <v>2230.64</v>
      </c>
      <c r="I306" s="78">
        <f t="shared" si="52"/>
        <v>2240</v>
      </c>
      <c r="J306" s="78">
        <f t="shared" si="52"/>
        <v>1804</v>
      </c>
      <c r="K306" s="77">
        <f t="shared" si="52"/>
        <v>454.8</v>
      </c>
      <c r="L306" s="77">
        <f t="shared" si="52"/>
        <v>0</v>
      </c>
      <c r="M306" s="77">
        <f>SUM(M303:M305)</f>
        <v>0</v>
      </c>
      <c r="N306" s="61">
        <f t="shared" si="52"/>
        <v>1700</v>
      </c>
      <c r="O306" s="61">
        <f>SUM(O303:O305)</f>
        <v>1700</v>
      </c>
      <c r="P306" s="61">
        <f>SUM(P303:P305)</f>
        <v>1700</v>
      </c>
      <c r="Q306" s="61">
        <f>SUM(Q303:Q305)</f>
        <v>0</v>
      </c>
      <c r="R306" s="63">
        <f>O306-N306</f>
        <v>0</v>
      </c>
      <c r="S306" s="64">
        <f>R306/N306</f>
        <v>0</v>
      </c>
      <c r="W306" s="63">
        <f>P306-N306</f>
        <v>0</v>
      </c>
      <c r="X306" s="64">
        <f>W306/N306</f>
        <v>0</v>
      </c>
    </row>
    <row r="307" spans="1:24" x14ac:dyDescent="0.2">
      <c r="A307" s="26"/>
      <c r="B307" s="27"/>
      <c r="C307" s="51"/>
      <c r="D307" s="59"/>
      <c r="E307" s="59"/>
      <c r="F307" s="65"/>
      <c r="G307" s="65"/>
      <c r="H307" s="65"/>
      <c r="I307" s="66"/>
      <c r="J307" s="66"/>
      <c r="K307" s="59"/>
      <c r="L307" s="41"/>
      <c r="M307" s="41"/>
      <c r="N307" s="59"/>
      <c r="O307" s="59"/>
      <c r="P307" s="59"/>
      <c r="Q307" s="59"/>
      <c r="R307" s="58"/>
    </row>
    <row r="308" spans="1:24" x14ac:dyDescent="0.2">
      <c r="A308" s="28"/>
      <c r="B308" s="29" t="s">
        <v>139</v>
      </c>
      <c r="C308" s="77"/>
      <c r="D308" s="65"/>
      <c r="E308" s="65"/>
      <c r="F308" s="65"/>
      <c r="G308" s="65"/>
      <c r="H308" s="65"/>
      <c r="I308" s="66"/>
      <c r="J308" s="66"/>
      <c r="K308" s="65"/>
      <c r="L308" s="75"/>
      <c r="M308" s="75"/>
      <c r="N308" s="65"/>
      <c r="O308" s="65"/>
      <c r="P308" s="65"/>
      <c r="Q308" s="65"/>
      <c r="R308" s="66"/>
      <c r="S308" s="76"/>
    </row>
    <row r="309" spans="1:24" x14ac:dyDescent="0.2">
      <c r="A309" s="28"/>
      <c r="B309" s="30" t="s">
        <v>64</v>
      </c>
      <c r="C309" s="77" t="e">
        <v>#REF!</v>
      </c>
      <c r="D309" s="77" t="e">
        <v>#REF!</v>
      </c>
      <c r="E309" s="77" t="e">
        <v>#REF!</v>
      </c>
      <c r="F309" s="77" t="e">
        <v>#REF!</v>
      </c>
      <c r="G309" s="77">
        <v>42746</v>
      </c>
      <c r="H309" s="77">
        <v>44029</v>
      </c>
      <c r="I309" s="78">
        <v>44029</v>
      </c>
      <c r="J309" s="78">
        <v>44029</v>
      </c>
      <c r="K309" s="77">
        <v>44029</v>
      </c>
      <c r="L309" s="75">
        <f>[43]Cover!$B$12</f>
        <v>45582</v>
      </c>
      <c r="M309" s="75">
        <f>[43]Cover!$B$12</f>
        <v>45582</v>
      </c>
      <c r="N309" s="65">
        <f>[43]Cover!$C$12</f>
        <v>46038</v>
      </c>
      <c r="O309" s="65">
        <f>[43]Cover!$D$12</f>
        <v>46499</v>
      </c>
      <c r="P309" s="65">
        <f>[43]Cover!$E$12</f>
        <v>46499</v>
      </c>
      <c r="Q309" s="65">
        <v>0</v>
      </c>
      <c r="R309" s="66"/>
      <c r="S309" s="76"/>
    </row>
    <row r="310" spans="1:24" x14ac:dyDescent="0.2">
      <c r="A310" s="28"/>
      <c r="B310" s="30" t="s">
        <v>67</v>
      </c>
      <c r="C310" s="77">
        <f>3414.28+10501.66</f>
        <v>13915.94</v>
      </c>
      <c r="D310" s="65">
        <v>3708</v>
      </c>
      <c r="E310" s="65">
        <v>15281</v>
      </c>
      <c r="F310" s="65">
        <v>0</v>
      </c>
      <c r="G310" s="65">
        <v>0</v>
      </c>
      <c r="H310" s="65">
        <v>0</v>
      </c>
      <c r="I310" s="66">
        <v>0</v>
      </c>
      <c r="J310" s="66">
        <v>0</v>
      </c>
      <c r="K310" s="65">
        <v>0</v>
      </c>
      <c r="L310" s="75">
        <f>[43]Cover!$B$15+[43]Cover!$B$18+[43]Cover!$B$21+[43]Cover!$B$24+[43]Cover!$B$30</f>
        <v>0</v>
      </c>
      <c r="M310" s="75">
        <f>[43]Cover!$B$15+[43]Cover!$B$18+[43]Cover!$B$21+[43]Cover!$B$24+[43]Cover!$B$30</f>
        <v>0</v>
      </c>
      <c r="N310" s="65">
        <f>[43]Cover!$C$15+[43]Cover!$C$18+[43]Cover!$C$21+[43]Cover!$C$24+[43]Cover!$C$30</f>
        <v>0</v>
      </c>
      <c r="O310" s="65">
        <f>[43]Cover!$D$15+[43]Cover!$D$18+[43]Cover!$D$21+[43]Cover!$D$24+[43]Cover!$D$30</f>
        <v>0</v>
      </c>
      <c r="P310" s="65">
        <f>[43]Cover!$E$15+[43]Cover!$E$18+[43]Cover!$E$21+[43]Cover!$E$24+[43]Cover!$E$30</f>
        <v>0</v>
      </c>
      <c r="Q310" s="65">
        <v>0</v>
      </c>
      <c r="R310" s="66"/>
      <c r="S310" s="76"/>
    </row>
    <row r="311" spans="1:24" x14ac:dyDescent="0.2">
      <c r="A311" s="28"/>
      <c r="B311" s="30" t="s">
        <v>68</v>
      </c>
      <c r="C311" s="79">
        <v>0</v>
      </c>
      <c r="D311" s="71">
        <v>10260</v>
      </c>
      <c r="E311" s="71">
        <v>9892</v>
      </c>
      <c r="F311" s="71">
        <v>0</v>
      </c>
      <c r="G311" s="71">
        <v>0</v>
      </c>
      <c r="H311" s="71">
        <v>0</v>
      </c>
      <c r="I311" s="72">
        <v>0</v>
      </c>
      <c r="J311" s="72">
        <v>0</v>
      </c>
      <c r="K311" s="71">
        <v>0</v>
      </c>
      <c r="L311" s="80">
        <f>[43]Cover!$B$27</f>
        <v>0</v>
      </c>
      <c r="M311" s="80">
        <f>[43]Cover!$B$27</f>
        <v>0</v>
      </c>
      <c r="N311" s="71">
        <f>[43]Cover!$C$27</f>
        <v>0</v>
      </c>
      <c r="O311" s="71">
        <f>[43]Cover!$D$27</f>
        <v>0</v>
      </c>
      <c r="P311" s="71">
        <f>[43]Cover!$E$27</f>
        <v>0</v>
      </c>
      <c r="Q311" s="71">
        <v>0</v>
      </c>
      <c r="R311" s="63"/>
      <c r="S311" s="76"/>
    </row>
    <row r="312" spans="1:24" x14ac:dyDescent="0.2">
      <c r="A312" s="28">
        <v>42</v>
      </c>
      <c r="B312" s="30" t="s">
        <v>65</v>
      </c>
      <c r="C312" s="77" t="e">
        <f t="shared" ref="C312:N312" si="53">SUM(C309:C311)</f>
        <v>#REF!</v>
      </c>
      <c r="D312" s="65" t="e">
        <f t="shared" si="53"/>
        <v>#REF!</v>
      </c>
      <c r="E312" s="61" t="e">
        <f t="shared" si="53"/>
        <v>#REF!</v>
      </c>
      <c r="F312" s="61" t="e">
        <f t="shared" si="53"/>
        <v>#REF!</v>
      </c>
      <c r="G312" s="61">
        <f t="shared" si="53"/>
        <v>42746</v>
      </c>
      <c r="H312" s="61">
        <f t="shared" si="53"/>
        <v>44029</v>
      </c>
      <c r="I312" s="81">
        <f t="shared" si="53"/>
        <v>44029</v>
      </c>
      <c r="J312" s="81">
        <f t="shared" si="53"/>
        <v>44029</v>
      </c>
      <c r="K312" s="61">
        <f t="shared" si="53"/>
        <v>44029</v>
      </c>
      <c r="L312" s="75">
        <f t="shared" si="53"/>
        <v>45582</v>
      </c>
      <c r="M312" s="75">
        <f>SUM(M309:M311)</f>
        <v>45582</v>
      </c>
      <c r="N312" s="61">
        <f t="shared" si="53"/>
        <v>46038</v>
      </c>
      <c r="O312" s="61">
        <f>SUM(O309:O311)</f>
        <v>46499</v>
      </c>
      <c r="P312" s="61">
        <f>SUM(P309:P311)</f>
        <v>46499</v>
      </c>
      <c r="Q312" s="61">
        <f>SUM(Q309:Q311)</f>
        <v>0</v>
      </c>
      <c r="R312" s="63">
        <f>O312-N312</f>
        <v>461</v>
      </c>
      <c r="S312" s="64">
        <f>R312/N312</f>
        <v>1.0013467135844303E-2</v>
      </c>
      <c r="W312" s="63">
        <f>P312-N312</f>
        <v>461</v>
      </c>
      <c r="X312" s="64">
        <f>W312/N312</f>
        <v>1.0013467135844303E-2</v>
      </c>
    </row>
    <row r="313" spans="1:24" x14ac:dyDescent="0.2">
      <c r="A313" s="26"/>
      <c r="B313" s="27"/>
      <c r="C313" s="51"/>
      <c r="D313" s="59"/>
      <c r="E313" s="60"/>
      <c r="F313" s="61"/>
      <c r="G313" s="61"/>
      <c r="H313" s="61"/>
      <c r="I313" s="81"/>
      <c r="J313" s="81"/>
      <c r="K313" s="60"/>
      <c r="L313" s="41"/>
      <c r="M313" s="41"/>
      <c r="N313" s="60"/>
      <c r="O313" s="60"/>
      <c r="P313" s="60"/>
      <c r="Q313" s="60"/>
      <c r="R313" s="114"/>
    </row>
    <row r="314" spans="1:24" x14ac:dyDescent="0.2">
      <c r="A314" s="26"/>
      <c r="B314" s="14" t="s">
        <v>140</v>
      </c>
      <c r="C314" s="51"/>
      <c r="D314" s="59"/>
      <c r="E314" s="59"/>
      <c r="F314" s="65"/>
      <c r="G314" s="65"/>
      <c r="H314" s="65"/>
      <c r="I314" s="66"/>
      <c r="J314" s="66"/>
      <c r="K314" s="59"/>
      <c r="L314" s="41"/>
      <c r="M314" s="41"/>
      <c r="N314" s="59"/>
      <c r="O314" s="59"/>
      <c r="P314" s="59"/>
      <c r="Q314" s="59"/>
      <c r="R314" s="58"/>
    </row>
    <row r="315" spans="1:24" x14ac:dyDescent="0.2">
      <c r="A315" s="26"/>
      <c r="B315" s="27" t="s">
        <v>67</v>
      </c>
      <c r="C315" s="51">
        <v>0</v>
      </c>
      <c r="D315" s="59">
        <v>100</v>
      </c>
      <c r="E315" s="59">
        <v>0</v>
      </c>
      <c r="F315" s="65">
        <v>0</v>
      </c>
      <c r="G315" s="65">
        <v>0</v>
      </c>
      <c r="H315" s="65">
        <v>0</v>
      </c>
      <c r="I315" s="66">
        <v>0</v>
      </c>
      <c r="J315" s="66">
        <v>0</v>
      </c>
      <c r="K315" s="59">
        <v>0</v>
      </c>
      <c r="L315" s="41">
        <f>[44]Cover!$B$15+[44]Cover!$B$18+[44]Cover!$B$21+[44]Cover!$B$24+[44]Cover!$B$30</f>
        <v>0</v>
      </c>
      <c r="M315" s="41">
        <f>[44]Cover!$B$15+[44]Cover!$B$18+[44]Cover!$B$21+[44]Cover!$B$24+[44]Cover!$B$30</f>
        <v>0</v>
      </c>
      <c r="N315" s="59">
        <f>[44]Cover!$C$15+[44]Cover!$C$18+[44]Cover!$C$21+[44]Cover!$C$24+[44]Cover!$C$30</f>
        <v>400</v>
      </c>
      <c r="O315" s="59">
        <f>[44]Cover!$D$15+[44]Cover!$D$18+[44]Cover!$D$21+[44]Cover!$D$24+[44]Cover!$D$30</f>
        <v>400</v>
      </c>
      <c r="P315" s="59">
        <f>[44]Cover!$E$15+[44]Cover!$E$18+[44]Cover!$E$21+[44]Cover!$E$24+[44]Cover!$E$30</f>
        <v>400</v>
      </c>
      <c r="Q315" s="59">
        <v>0</v>
      </c>
      <c r="R315" s="58"/>
    </row>
    <row r="316" spans="1:24" x14ac:dyDescent="0.2">
      <c r="A316" s="26"/>
      <c r="B316" s="27" t="s">
        <v>68</v>
      </c>
      <c r="C316" s="56">
        <v>0</v>
      </c>
      <c r="D316" s="70">
        <v>250</v>
      </c>
      <c r="E316" s="70"/>
      <c r="F316" s="71"/>
      <c r="G316" s="71">
        <v>0</v>
      </c>
      <c r="H316" s="71">
        <v>0</v>
      </c>
      <c r="I316" s="72">
        <v>0</v>
      </c>
      <c r="J316" s="72">
        <v>0</v>
      </c>
      <c r="K316" s="70">
        <v>0</v>
      </c>
      <c r="L316" s="73">
        <f>[44]Cover!$B$27</f>
        <v>0</v>
      </c>
      <c r="M316" s="73">
        <f>[44]Cover!$B$27</f>
        <v>0</v>
      </c>
      <c r="N316" s="70">
        <f>[44]Cover!$C$27</f>
        <v>0</v>
      </c>
      <c r="O316" s="70">
        <f>[44]Cover!$D$27</f>
        <v>0</v>
      </c>
      <c r="P316" s="70">
        <f>[44]Cover!$E$27</f>
        <v>0</v>
      </c>
      <c r="Q316" s="71">
        <v>0</v>
      </c>
      <c r="R316" s="58"/>
    </row>
    <row r="317" spans="1:24" x14ac:dyDescent="0.2">
      <c r="A317" s="26">
        <v>43</v>
      </c>
      <c r="B317" s="27" t="s">
        <v>65</v>
      </c>
      <c r="C317" s="51">
        <f t="shared" ref="C317:N317" si="54">SUM(C315:C316)</f>
        <v>0</v>
      </c>
      <c r="D317" s="59">
        <f t="shared" si="54"/>
        <v>350</v>
      </c>
      <c r="E317" s="59">
        <f t="shared" si="54"/>
        <v>0</v>
      </c>
      <c r="F317" s="65">
        <f t="shared" si="54"/>
        <v>0</v>
      </c>
      <c r="G317" s="65">
        <f t="shared" si="54"/>
        <v>0</v>
      </c>
      <c r="H317" s="65">
        <f t="shared" si="54"/>
        <v>0</v>
      </c>
      <c r="I317" s="58">
        <f t="shared" si="54"/>
        <v>0</v>
      </c>
      <c r="J317" s="58">
        <f t="shared" si="54"/>
        <v>0</v>
      </c>
      <c r="K317" s="59">
        <f t="shared" si="54"/>
        <v>0</v>
      </c>
      <c r="L317" s="41">
        <f t="shared" si="54"/>
        <v>0</v>
      </c>
      <c r="M317" s="41">
        <f>SUM(M315:M316)</f>
        <v>0</v>
      </c>
      <c r="N317" s="59">
        <f t="shared" si="54"/>
        <v>400</v>
      </c>
      <c r="O317" s="59">
        <f>SUM(O315:O316)</f>
        <v>400</v>
      </c>
      <c r="P317" s="59">
        <f>SUM(P315:P316)</f>
        <v>400</v>
      </c>
      <c r="Q317" s="59">
        <f>SUM(Q315:Q316)</f>
        <v>0</v>
      </c>
      <c r="R317" s="63">
        <f>O317-N317</f>
        <v>0</v>
      </c>
      <c r="S317" s="64">
        <f>R317/N317</f>
        <v>0</v>
      </c>
      <c r="W317" s="63">
        <f>P317-N317</f>
        <v>0</v>
      </c>
      <c r="X317" s="64">
        <f>W317/N317</f>
        <v>0</v>
      </c>
    </row>
    <row r="318" spans="1:24" x14ac:dyDescent="0.2">
      <c r="A318" s="26"/>
      <c r="B318" s="27"/>
      <c r="C318" s="51"/>
      <c r="D318" s="59"/>
      <c r="E318" s="59"/>
      <c r="F318" s="65"/>
      <c r="G318" s="65"/>
      <c r="H318" s="65"/>
      <c r="I318" s="66"/>
      <c r="J318" s="66"/>
      <c r="K318" s="59"/>
      <c r="L318" s="41"/>
      <c r="M318" s="41"/>
      <c r="N318" s="59"/>
      <c r="O318" s="59"/>
      <c r="P318" s="59"/>
      <c r="Q318" s="59"/>
      <c r="R318" s="58"/>
    </row>
    <row r="319" spans="1:24" x14ac:dyDescent="0.2">
      <c r="A319" s="26"/>
      <c r="B319" s="14" t="s">
        <v>141</v>
      </c>
      <c r="C319" s="51"/>
      <c r="D319" s="59"/>
      <c r="E319" s="59"/>
      <c r="F319" s="65"/>
      <c r="G319" s="65"/>
      <c r="H319" s="65"/>
      <c r="I319" s="66"/>
      <c r="J319" s="66"/>
      <c r="K319" s="59"/>
      <c r="L319" s="41"/>
      <c r="M319" s="41"/>
      <c r="N319" s="59"/>
      <c r="O319" s="59"/>
      <c r="P319" s="59"/>
      <c r="Q319" s="59"/>
      <c r="R319" s="58"/>
    </row>
    <row r="320" spans="1:24" x14ac:dyDescent="0.2">
      <c r="A320" s="26"/>
      <c r="B320" s="27" t="s">
        <v>67</v>
      </c>
      <c r="C320" s="56"/>
      <c r="D320" s="70">
        <v>0</v>
      </c>
      <c r="E320" s="70">
        <v>1000</v>
      </c>
      <c r="F320" s="71">
        <v>1000</v>
      </c>
      <c r="G320" s="71">
        <v>1000</v>
      </c>
      <c r="H320" s="71">
        <v>450</v>
      </c>
      <c r="I320" s="72">
        <v>450</v>
      </c>
      <c r="J320" s="72">
        <v>950</v>
      </c>
      <c r="K320" s="70">
        <v>450</v>
      </c>
      <c r="L320" s="73">
        <f>[45]Cover!$B$15+[45]Cover!$B$18+[45]Cover!$B$21+[45]Cover!$B$24+[45]Cover!$B$30</f>
        <v>350</v>
      </c>
      <c r="M320" s="73">
        <f>[45]Cover!$B$15+[45]Cover!$B$18+[45]Cover!$B$21+[45]Cover!$B$24+[45]Cover!$B$30</f>
        <v>350</v>
      </c>
      <c r="N320" s="70">
        <f>[45]Cover!$C$15+[45]Cover!$C$18+[45]Cover!$C$21+[45]Cover!$C$24+[45]Cover!$C$30</f>
        <v>1000</v>
      </c>
      <c r="O320" s="70">
        <f>[45]Cover!$D$15+[45]Cover!$D$18+[45]Cover!$D$21+[45]Cover!$D$24+[45]Cover!$D$30</f>
        <v>1000</v>
      </c>
      <c r="P320" s="70">
        <f>[45]Cover!$E$15+[45]Cover!$E$18+[45]Cover!$E$21+[45]Cover!$E$24+[45]Cover!$E$30</f>
        <v>1000</v>
      </c>
      <c r="Q320" s="71">
        <v>0</v>
      </c>
      <c r="R320" s="58"/>
    </row>
    <row r="321" spans="1:24" x14ac:dyDescent="0.2">
      <c r="A321" s="26">
        <v>44</v>
      </c>
      <c r="B321" s="27" t="s">
        <v>65</v>
      </c>
      <c r="C321" s="51"/>
      <c r="D321" s="59">
        <f>SUM(D320:D320)</f>
        <v>0</v>
      </c>
      <c r="E321" s="59">
        <f>SUM(E320:E320)</f>
        <v>1000</v>
      </c>
      <c r="F321" s="65">
        <f>SUM(F320:F320)</f>
        <v>1000</v>
      </c>
      <c r="G321" s="65">
        <f>SUM(G320:G320)</f>
        <v>1000</v>
      </c>
      <c r="H321" s="65">
        <f>SUM(H320)</f>
        <v>450</v>
      </c>
      <c r="I321" s="58">
        <f t="shared" ref="I321:Q321" si="55">SUM(I320:I320)</f>
        <v>450</v>
      </c>
      <c r="J321" s="58">
        <f t="shared" si="55"/>
        <v>950</v>
      </c>
      <c r="K321" s="59">
        <f t="shared" si="55"/>
        <v>450</v>
      </c>
      <c r="L321" s="41">
        <f t="shared" si="55"/>
        <v>350</v>
      </c>
      <c r="M321" s="41">
        <f>SUM(M320:M320)</f>
        <v>350</v>
      </c>
      <c r="N321" s="59">
        <f t="shared" si="55"/>
        <v>1000</v>
      </c>
      <c r="O321" s="59">
        <f t="shared" si="55"/>
        <v>1000</v>
      </c>
      <c r="P321" s="59">
        <f>SUM(P320:P320)</f>
        <v>1000</v>
      </c>
      <c r="Q321" s="59">
        <f t="shared" si="55"/>
        <v>0</v>
      </c>
      <c r="R321" s="63">
        <f>O321-N321</f>
        <v>0</v>
      </c>
      <c r="S321" s="64">
        <f>R321/N321</f>
        <v>0</v>
      </c>
      <c r="W321" s="63">
        <f>P321-N321</f>
        <v>0</v>
      </c>
      <c r="X321" s="64">
        <f>W321/N321</f>
        <v>0</v>
      </c>
    </row>
    <row r="322" spans="1:24" x14ac:dyDescent="0.2">
      <c r="A322" s="26"/>
      <c r="B322" s="27"/>
      <c r="C322" s="51"/>
      <c r="D322" s="59"/>
      <c r="E322" s="59"/>
      <c r="F322" s="65"/>
      <c r="G322" s="65"/>
      <c r="H322" s="65"/>
      <c r="I322" s="66"/>
      <c r="J322" s="66"/>
      <c r="K322" s="59"/>
      <c r="L322" s="41"/>
      <c r="M322" s="41"/>
      <c r="N322" s="59"/>
      <c r="O322" s="59"/>
      <c r="P322" s="59"/>
      <c r="Q322" s="59"/>
      <c r="R322" s="58"/>
    </row>
    <row r="323" spans="1:24" x14ac:dyDescent="0.2">
      <c r="A323" s="26"/>
      <c r="B323" s="14" t="s">
        <v>142</v>
      </c>
      <c r="C323" s="85" t="e">
        <f t="shared" ref="C323:N323" si="56">SUM(C321,C317,C312,C306,C300,)</f>
        <v>#REF!</v>
      </c>
      <c r="D323" s="85" t="e">
        <f t="shared" si="56"/>
        <v>#REF!</v>
      </c>
      <c r="E323" s="85" t="e">
        <f t="shared" si="56"/>
        <v>#REF!</v>
      </c>
      <c r="F323" s="86" t="e">
        <f t="shared" si="56"/>
        <v>#REF!</v>
      </c>
      <c r="G323" s="86">
        <f t="shared" si="56"/>
        <v>402522.75</v>
      </c>
      <c r="H323" s="85">
        <f t="shared" si="56"/>
        <v>409047.16000000003</v>
      </c>
      <c r="I323" s="63">
        <f t="shared" si="56"/>
        <v>395968</v>
      </c>
      <c r="J323" s="63">
        <f t="shared" si="56"/>
        <v>390591</v>
      </c>
      <c r="K323" s="85">
        <f t="shared" si="56"/>
        <v>395800.06</v>
      </c>
      <c r="L323" s="41">
        <f t="shared" si="56"/>
        <v>405559.99</v>
      </c>
      <c r="M323" s="85">
        <f>SUM(M321,M317,M312,M306,M300,)</f>
        <v>405559.99</v>
      </c>
      <c r="N323" s="85">
        <f t="shared" si="56"/>
        <v>417290</v>
      </c>
      <c r="O323" s="85">
        <f>SUM(O321,O317,O312,O306,O300,)</f>
        <v>421455</v>
      </c>
      <c r="P323" s="85">
        <f>SUM(P321,P317,P312,P306,P300,)</f>
        <v>421474</v>
      </c>
      <c r="Q323" s="59">
        <f>SUM(Q321,Q317,Q312,Q306,Q300,)</f>
        <v>0</v>
      </c>
      <c r="R323" s="63">
        <f>O323-N323</f>
        <v>4165</v>
      </c>
      <c r="S323" s="64">
        <f>R323/N323</f>
        <v>9.981068321790602E-3</v>
      </c>
      <c r="V323" s="20" t="b">
        <f>R323=SUM(R300+R306+R312+R317+R321)</f>
        <v>1</v>
      </c>
      <c r="W323" s="63">
        <f>P323-N323</f>
        <v>4184</v>
      </c>
      <c r="X323" s="64">
        <f>W323/N323</f>
        <v>1.0026600206091687E-2</v>
      </c>
    </row>
    <row r="324" spans="1:24" x14ac:dyDescent="0.2">
      <c r="A324" s="25"/>
      <c r="B324" s="27"/>
      <c r="C324" s="88"/>
      <c r="D324" s="85"/>
      <c r="E324" s="59"/>
      <c r="F324" s="65"/>
      <c r="G324" s="65"/>
      <c r="H324" s="65"/>
      <c r="I324" s="66"/>
      <c r="J324" s="66"/>
      <c r="K324" s="59"/>
      <c r="L324" s="41"/>
      <c r="M324" s="41"/>
      <c r="N324" s="41"/>
      <c r="O324" s="41"/>
      <c r="P324" s="41"/>
      <c r="Q324" s="41"/>
      <c r="R324" s="69"/>
    </row>
    <row r="325" spans="1:24" x14ac:dyDescent="0.2">
      <c r="A325" s="26"/>
      <c r="B325" s="14" t="s">
        <v>143</v>
      </c>
      <c r="C325" s="88"/>
      <c r="D325" s="85"/>
      <c r="E325" s="59"/>
      <c r="F325" s="65"/>
      <c r="G325" s="65"/>
      <c r="H325" s="65"/>
      <c r="I325" s="66"/>
      <c r="J325" s="66"/>
      <c r="K325" s="59"/>
      <c r="L325" s="41"/>
      <c r="M325" s="41"/>
      <c r="N325" s="59"/>
      <c r="O325" s="59"/>
      <c r="P325" s="59"/>
      <c r="Q325" s="59"/>
      <c r="R325" s="58"/>
    </row>
    <row r="326" spans="1:24" x14ac:dyDescent="0.2">
      <c r="A326" s="26"/>
      <c r="B326" s="27" t="s">
        <v>144</v>
      </c>
      <c r="C326" s="51">
        <v>820397.51</v>
      </c>
      <c r="D326" s="59">
        <v>953700</v>
      </c>
      <c r="E326" s="51">
        <v>1732910</v>
      </c>
      <c r="F326" s="74">
        <v>1458508.6</v>
      </c>
      <c r="G326" s="74">
        <v>1546496.15</v>
      </c>
      <c r="H326" s="74">
        <v>1683441.45</v>
      </c>
      <c r="I326" s="84">
        <v>1835832.15</v>
      </c>
      <c r="J326" s="84">
        <v>1740411</v>
      </c>
      <c r="K326" s="67">
        <v>1698958.33</v>
      </c>
      <c r="L326" s="91">
        <f>[46]Cover!$B$6</f>
        <v>1942921.68</v>
      </c>
      <c r="M326" s="91">
        <f>[46]Cover!$B$6</f>
        <v>1942921.68</v>
      </c>
      <c r="N326" s="67">
        <f>[46]Cover!$C$6</f>
        <v>2081509</v>
      </c>
      <c r="O326" s="67">
        <f>[46]Cover!$D$6</f>
        <v>2110826</v>
      </c>
      <c r="P326" s="67">
        <f>[46]Cover!$E$6</f>
        <v>2110826</v>
      </c>
      <c r="Q326" s="67">
        <v>0</v>
      </c>
    </row>
    <row r="327" spans="1:24" x14ac:dyDescent="0.2">
      <c r="A327" s="26"/>
      <c r="B327" s="27" t="s">
        <v>145</v>
      </c>
      <c r="C327" s="51">
        <v>700771.43</v>
      </c>
      <c r="D327" s="59">
        <v>1006696</v>
      </c>
      <c r="E327" s="51">
        <v>650524</v>
      </c>
      <c r="F327" s="65">
        <v>617511.77</v>
      </c>
      <c r="G327" s="65">
        <v>657341.34</v>
      </c>
      <c r="H327" s="65">
        <v>762444.66</v>
      </c>
      <c r="I327" s="66">
        <v>827749</v>
      </c>
      <c r="J327" s="66">
        <v>810981</v>
      </c>
      <c r="K327" s="59">
        <v>774251.74</v>
      </c>
      <c r="L327" s="41">
        <f>[46]Cover!$B$7</f>
        <v>680901.4</v>
      </c>
      <c r="M327" s="41">
        <f>[46]Cover!$B$7</f>
        <v>680901.4</v>
      </c>
      <c r="N327" s="59">
        <f>[46]Cover!$C$7</f>
        <v>644581</v>
      </c>
      <c r="O327" s="59">
        <f>[46]Cover!$D$7</f>
        <v>600999</v>
      </c>
      <c r="P327" s="59">
        <f>[46]Cover!$E$7</f>
        <v>600999</v>
      </c>
      <c r="Q327" s="59">
        <v>0</v>
      </c>
      <c r="R327" s="58"/>
    </row>
    <row r="328" spans="1:24" x14ac:dyDescent="0.2">
      <c r="A328" s="26"/>
      <c r="B328" s="27" t="s">
        <v>146</v>
      </c>
      <c r="C328" s="56">
        <v>0</v>
      </c>
      <c r="D328" s="70">
        <v>243347</v>
      </c>
      <c r="E328" s="70">
        <v>220342</v>
      </c>
      <c r="F328" s="71">
        <v>14398.83</v>
      </c>
      <c r="G328" s="71">
        <v>15274.43</v>
      </c>
      <c r="H328" s="71">
        <v>37658.94</v>
      </c>
      <c r="I328" s="72">
        <v>6881</v>
      </c>
      <c r="J328" s="72">
        <v>67</v>
      </c>
      <c r="K328" s="70">
        <v>7250</v>
      </c>
      <c r="L328" s="73">
        <f>[46]Cover!$B$8</f>
        <v>9828.2999999999993</v>
      </c>
      <c r="M328" s="73">
        <f>[46]Cover!$B$8</f>
        <v>9828.2999999999993</v>
      </c>
      <c r="N328" s="70">
        <f>[46]Cover!$C$8</f>
        <v>20000</v>
      </c>
      <c r="O328" s="70">
        <f>[46]Cover!$D$8</f>
        <v>20000</v>
      </c>
      <c r="P328" s="70">
        <f>[46]Cover!$E$8</f>
        <v>20000</v>
      </c>
      <c r="Q328" s="71">
        <v>0</v>
      </c>
      <c r="R328" s="58"/>
    </row>
    <row r="329" spans="1:24" x14ac:dyDescent="0.2">
      <c r="A329" s="26">
        <v>45</v>
      </c>
      <c r="B329" s="27" t="s">
        <v>65</v>
      </c>
      <c r="C329" s="51">
        <f t="shared" ref="C329:N329" si="57">SUM(C326:C328)</f>
        <v>1521168.94</v>
      </c>
      <c r="D329" s="59">
        <f t="shared" si="57"/>
        <v>2203743</v>
      </c>
      <c r="E329" s="60">
        <f t="shared" si="57"/>
        <v>2603776</v>
      </c>
      <c r="F329" s="61">
        <f t="shared" si="57"/>
        <v>2090419.2000000002</v>
      </c>
      <c r="G329" s="61">
        <f t="shared" si="57"/>
        <v>2219111.92</v>
      </c>
      <c r="H329" s="60">
        <f t="shared" si="57"/>
        <v>2483545.0499999998</v>
      </c>
      <c r="I329" s="62">
        <f t="shared" si="57"/>
        <v>2670462.15</v>
      </c>
      <c r="J329" s="62">
        <f t="shared" si="57"/>
        <v>2551459</v>
      </c>
      <c r="K329" s="60">
        <f t="shared" si="57"/>
        <v>2480460.0700000003</v>
      </c>
      <c r="L329" s="41">
        <f t="shared" si="57"/>
        <v>2633651.38</v>
      </c>
      <c r="M329" s="41">
        <f>SUM(M326:M328)</f>
        <v>2633651.38</v>
      </c>
      <c r="N329" s="60">
        <f t="shared" si="57"/>
        <v>2746090</v>
      </c>
      <c r="O329" s="60">
        <f>SUM(O326:O328)</f>
        <v>2731825</v>
      </c>
      <c r="P329" s="60">
        <f>SUM(P326:P328)</f>
        <v>2731825</v>
      </c>
      <c r="Q329" s="60">
        <f>SUM(Q326:Q328)</f>
        <v>0</v>
      </c>
      <c r="R329" s="63">
        <f>O329-N329</f>
        <v>-14265</v>
      </c>
      <c r="S329" s="64">
        <f>R329/N329</f>
        <v>-5.1946585873004891E-3</v>
      </c>
      <c r="W329" s="63">
        <f>P329-N329</f>
        <v>-14265</v>
      </c>
      <c r="X329" s="64">
        <f>W329/N329</f>
        <v>-5.1946585873004891E-3</v>
      </c>
    </row>
    <row r="330" spans="1:24" x14ac:dyDescent="0.2">
      <c r="A330" s="26"/>
      <c r="B330" s="27"/>
      <c r="C330" s="51"/>
      <c r="D330" s="59"/>
      <c r="E330" s="59"/>
      <c r="F330" s="65"/>
      <c r="G330" s="65"/>
      <c r="H330" s="65"/>
      <c r="I330" s="66"/>
      <c r="J330" s="66"/>
      <c r="K330" s="59"/>
      <c r="L330" s="41"/>
      <c r="M330" s="41"/>
      <c r="N330" s="59"/>
      <c r="O330" s="59"/>
      <c r="P330" s="59"/>
      <c r="Q330" s="59"/>
      <c r="R330" s="58"/>
    </row>
    <row r="331" spans="1:24" x14ac:dyDescent="0.2">
      <c r="A331" s="26"/>
      <c r="B331" s="14" t="s">
        <v>147</v>
      </c>
      <c r="C331" s="85">
        <f t="shared" ref="C331:N331" si="58">SUM(C329:C330)</f>
        <v>1521168.94</v>
      </c>
      <c r="D331" s="85">
        <f t="shared" si="58"/>
        <v>2203743</v>
      </c>
      <c r="E331" s="85">
        <f t="shared" si="58"/>
        <v>2603776</v>
      </c>
      <c r="F331" s="86">
        <f t="shared" si="58"/>
        <v>2090419.2000000002</v>
      </c>
      <c r="G331" s="86">
        <f t="shared" si="58"/>
        <v>2219111.92</v>
      </c>
      <c r="H331" s="85">
        <f t="shared" si="58"/>
        <v>2483545.0499999998</v>
      </c>
      <c r="I331" s="63">
        <f t="shared" si="58"/>
        <v>2670462.15</v>
      </c>
      <c r="J331" s="63">
        <f t="shared" si="58"/>
        <v>2551459</v>
      </c>
      <c r="K331" s="85">
        <f t="shared" si="58"/>
        <v>2480460.0700000003</v>
      </c>
      <c r="L331" s="85">
        <f t="shared" si="58"/>
        <v>2633651.38</v>
      </c>
      <c r="M331" s="85">
        <f>SUM(M329:M330)</f>
        <v>2633651.38</v>
      </c>
      <c r="N331" s="85">
        <f t="shared" si="58"/>
        <v>2746090</v>
      </c>
      <c r="O331" s="85">
        <f>SUM(O329:O330)</f>
        <v>2731825</v>
      </c>
      <c r="P331" s="85">
        <f>SUM(P329:P330)</f>
        <v>2731825</v>
      </c>
      <c r="Q331" s="85">
        <f>SUM(Q329:Q330)</f>
        <v>0</v>
      </c>
      <c r="R331" s="63">
        <f>O331-N331</f>
        <v>-14265</v>
      </c>
      <c r="S331" s="64">
        <f>R331/N331</f>
        <v>-5.1946585873004891E-3</v>
      </c>
      <c r="W331" s="63">
        <f>P331-N331</f>
        <v>-14265</v>
      </c>
      <c r="X331" s="64">
        <f>W331/N331</f>
        <v>-5.1946585873004891E-3</v>
      </c>
    </row>
    <row r="332" spans="1:24" x14ac:dyDescent="0.2">
      <c r="A332" s="26"/>
      <c r="B332" s="14"/>
      <c r="C332" s="88"/>
      <c r="D332" s="85"/>
      <c r="E332" s="85"/>
      <c r="K332" s="85"/>
      <c r="L332" s="87"/>
      <c r="M332" s="87"/>
      <c r="N332" s="41"/>
      <c r="O332" s="41"/>
      <c r="P332" s="41"/>
      <c r="Q332" s="41"/>
      <c r="R332" s="69"/>
    </row>
    <row r="333" spans="1:24" x14ac:dyDescent="0.2">
      <c r="A333" s="26"/>
      <c r="B333" s="14" t="s">
        <v>148</v>
      </c>
      <c r="C333" s="88"/>
      <c r="D333" s="85"/>
      <c r="E333" s="59"/>
      <c r="K333" s="59"/>
      <c r="L333" s="41"/>
      <c r="M333" s="41"/>
      <c r="N333" s="59"/>
      <c r="O333" s="59"/>
      <c r="P333" s="59"/>
      <c r="Q333" s="59"/>
      <c r="R333" s="58"/>
    </row>
    <row r="334" spans="1:24" x14ac:dyDescent="0.2">
      <c r="A334" s="26"/>
      <c r="B334" s="14"/>
      <c r="C334" s="51"/>
      <c r="D334" s="59"/>
      <c r="E334" s="59"/>
      <c r="K334" s="59"/>
      <c r="L334" s="41"/>
      <c r="M334" s="41"/>
      <c r="N334" s="59"/>
      <c r="O334" s="59"/>
      <c r="P334" s="59"/>
      <c r="Q334" s="59"/>
      <c r="R334" s="58"/>
    </row>
    <row r="335" spans="1:24" x14ac:dyDescent="0.2">
      <c r="A335" s="26"/>
      <c r="B335" s="27" t="s">
        <v>149</v>
      </c>
      <c r="C335" s="51">
        <v>473934</v>
      </c>
      <c r="D335" s="59">
        <v>570010</v>
      </c>
      <c r="E335" s="59">
        <v>652839</v>
      </c>
      <c r="F335" s="74">
        <v>673210.15</v>
      </c>
      <c r="G335" s="74">
        <v>751355</v>
      </c>
      <c r="H335" s="74">
        <v>753024.3</v>
      </c>
      <c r="I335" s="84">
        <v>818384</v>
      </c>
      <c r="J335" s="84">
        <v>875376</v>
      </c>
      <c r="K335" s="67">
        <v>960336</v>
      </c>
      <c r="L335" s="91">
        <f>[47]Cover!$B$6</f>
        <v>1213130</v>
      </c>
      <c r="M335" s="91">
        <f>[47]Cover!$B$6</f>
        <v>1213130</v>
      </c>
      <c r="N335" s="67">
        <f>[47]Cover!$C$6</f>
        <v>1350754</v>
      </c>
      <c r="O335" s="67">
        <f>[47]Cover!$D$6</f>
        <v>1398084</v>
      </c>
      <c r="P335" s="67">
        <f>[47]Cover!$E$6</f>
        <v>1398084</v>
      </c>
      <c r="Q335" s="67">
        <v>0</v>
      </c>
      <c r="R335" s="63">
        <f t="shared" ref="R335:R346" si="59">O335-N335</f>
        <v>47330</v>
      </c>
      <c r="S335" s="64">
        <f t="shared" ref="S335:S346" si="60">R335/N335</f>
        <v>3.5039688944100852E-2</v>
      </c>
      <c r="W335" s="63">
        <f t="shared" ref="W335:W346" si="61">P335-N335</f>
        <v>47330</v>
      </c>
      <c r="X335" s="64">
        <f>W335/N335</f>
        <v>3.5039688944100852E-2</v>
      </c>
    </row>
    <row r="336" spans="1:24" x14ac:dyDescent="0.2">
      <c r="A336" s="26"/>
      <c r="B336" s="27" t="s">
        <v>150</v>
      </c>
      <c r="C336" s="51"/>
      <c r="D336" s="59">
        <v>0</v>
      </c>
      <c r="E336" s="59">
        <v>0</v>
      </c>
      <c r="F336" s="65">
        <v>0</v>
      </c>
      <c r="G336" s="65">
        <v>0</v>
      </c>
      <c r="H336" s="65">
        <v>0</v>
      </c>
      <c r="I336" s="66">
        <f>0</f>
        <v>0</v>
      </c>
      <c r="J336" s="66">
        <v>0</v>
      </c>
      <c r="K336" s="59">
        <v>0</v>
      </c>
      <c r="L336" s="91">
        <v>0</v>
      </c>
      <c r="M336" s="91">
        <v>0</v>
      </c>
      <c r="N336" s="59"/>
      <c r="O336" s="59">
        <v>0</v>
      </c>
      <c r="P336" s="59">
        <v>0</v>
      </c>
      <c r="Q336" s="59">
        <v>0</v>
      </c>
      <c r="R336" s="63">
        <f t="shared" si="59"/>
        <v>0</v>
      </c>
      <c r="S336" s="64">
        <v>0</v>
      </c>
      <c r="W336" s="63">
        <f t="shared" si="61"/>
        <v>0</v>
      </c>
      <c r="X336" s="64">
        <v>0</v>
      </c>
    </row>
    <row r="337" spans="1:24" x14ac:dyDescent="0.2">
      <c r="A337" s="28"/>
      <c r="B337" s="30" t="s">
        <v>151</v>
      </c>
      <c r="C337" s="77"/>
      <c r="D337" s="65">
        <v>91485</v>
      </c>
      <c r="E337" s="65">
        <v>92937</v>
      </c>
      <c r="F337" s="65">
        <v>95665</v>
      </c>
      <c r="G337" s="65">
        <v>112633</v>
      </c>
      <c r="H337" s="65">
        <v>109318</v>
      </c>
      <c r="I337" s="66">
        <v>110486</v>
      </c>
      <c r="J337" s="66">
        <v>108949</v>
      </c>
      <c r="K337" s="65">
        <v>110153</v>
      </c>
      <c r="L337" s="91">
        <f>[47]Cover!$B$7</f>
        <v>201484</v>
      </c>
      <c r="M337" s="91">
        <f>[47]Cover!$B$7</f>
        <v>201484</v>
      </c>
      <c r="N337" s="65">
        <f>[47]Cover!$C$7</f>
        <v>256000</v>
      </c>
      <c r="O337" s="65">
        <f>[47]Cover!$D$7</f>
        <v>325000</v>
      </c>
      <c r="P337" s="65">
        <f>[47]Cover!$E$7</f>
        <v>320000</v>
      </c>
      <c r="Q337" s="65">
        <v>0</v>
      </c>
      <c r="R337" s="63">
        <f t="shared" si="59"/>
        <v>69000</v>
      </c>
      <c r="S337" s="64">
        <f t="shared" si="60"/>
        <v>0.26953125</v>
      </c>
      <c r="W337" s="63">
        <f t="shared" si="61"/>
        <v>64000</v>
      </c>
      <c r="X337" s="64">
        <f t="shared" ref="X337:X346" si="62">W337/N337</f>
        <v>0.25</v>
      </c>
    </row>
    <row r="338" spans="1:24" x14ac:dyDescent="0.2">
      <c r="A338" s="28"/>
      <c r="B338" s="30" t="s">
        <v>152</v>
      </c>
      <c r="C338" s="77"/>
      <c r="D338" s="65">
        <v>20000</v>
      </c>
      <c r="E338" s="65">
        <v>32983</v>
      </c>
      <c r="F338" s="65">
        <v>3819.44</v>
      </c>
      <c r="G338" s="65">
        <f>18465.65+6500</f>
        <v>24965.65</v>
      </c>
      <c r="H338" s="65">
        <v>34483.68</v>
      </c>
      <c r="I338" s="66">
        <v>24738</v>
      </c>
      <c r="J338" s="66">
        <v>32982</v>
      </c>
      <c r="K338" s="65">
        <v>68378.97</v>
      </c>
      <c r="L338" s="91">
        <f>[47]Cover!$B$8</f>
        <v>12993.050000000001</v>
      </c>
      <c r="M338" s="91">
        <f>[47]Cover!$B$8</f>
        <v>12993.050000000001</v>
      </c>
      <c r="N338" s="65">
        <f>[47]Cover!$C$8</f>
        <v>40000</v>
      </c>
      <c r="O338" s="65">
        <f>[47]Cover!$D$8</f>
        <v>40000</v>
      </c>
      <c r="P338" s="65">
        <f>[47]Cover!$E$8</f>
        <v>40000</v>
      </c>
      <c r="Q338" s="65">
        <v>0</v>
      </c>
      <c r="R338" s="63">
        <f t="shared" si="59"/>
        <v>0</v>
      </c>
      <c r="S338" s="64">
        <f t="shared" si="60"/>
        <v>0</v>
      </c>
      <c r="W338" s="63">
        <f t="shared" si="61"/>
        <v>0</v>
      </c>
      <c r="X338" s="64">
        <f t="shared" si="62"/>
        <v>0</v>
      </c>
    </row>
    <row r="339" spans="1:24" x14ac:dyDescent="0.2">
      <c r="A339" s="28"/>
      <c r="B339" s="30" t="s">
        <v>153</v>
      </c>
      <c r="C339" s="77"/>
      <c r="D339" s="65"/>
      <c r="E339" s="65"/>
      <c r="F339" s="65"/>
      <c r="G339" s="65">
        <v>0</v>
      </c>
      <c r="H339" s="65">
        <v>2453.13</v>
      </c>
      <c r="I339" s="66">
        <v>5102</v>
      </c>
      <c r="J339" s="66">
        <v>5121</v>
      </c>
      <c r="K339" s="65">
        <v>9242.07</v>
      </c>
      <c r="L339" s="91">
        <f>[47]Cover!$B$9</f>
        <v>7858.98</v>
      </c>
      <c r="M339" s="91">
        <f>[47]Cover!$B$9</f>
        <v>7858.98</v>
      </c>
      <c r="N339" s="75">
        <f>[47]Cover!$C$9</f>
        <v>10000</v>
      </c>
      <c r="O339" s="65">
        <f>[47]Cover!$D$9</f>
        <v>10000</v>
      </c>
      <c r="P339" s="65">
        <f>[47]Cover!$E$9</f>
        <v>10000</v>
      </c>
      <c r="Q339" s="65">
        <v>0</v>
      </c>
      <c r="R339" s="63">
        <f t="shared" si="59"/>
        <v>0</v>
      </c>
      <c r="S339" s="64">
        <f t="shared" si="60"/>
        <v>0</v>
      </c>
      <c r="W339" s="63">
        <f t="shared" si="61"/>
        <v>0</v>
      </c>
      <c r="X339" s="64">
        <f t="shared" si="62"/>
        <v>0</v>
      </c>
    </row>
    <row r="340" spans="1:24" x14ac:dyDescent="0.2">
      <c r="A340" s="28"/>
      <c r="B340" s="30" t="s">
        <v>154</v>
      </c>
      <c r="C340" s="74">
        <v>816123.36</v>
      </c>
      <c r="D340" s="65">
        <v>1066250</v>
      </c>
      <c r="E340" s="74">
        <v>839722</v>
      </c>
      <c r="F340" s="75">
        <v>835407.5</v>
      </c>
      <c r="G340" s="75">
        <f>3355.202+886333.55</f>
        <v>889688.75200000009</v>
      </c>
      <c r="H340" s="75">
        <v>918218.56</v>
      </c>
      <c r="I340" s="82">
        <v>902000</v>
      </c>
      <c r="J340" s="82">
        <v>689431</v>
      </c>
      <c r="K340" s="65">
        <v>976522.47</v>
      </c>
      <c r="L340" s="91">
        <f>[47]Cover!$B$10</f>
        <v>1047131.95</v>
      </c>
      <c r="M340" s="91">
        <f>[47]Cover!$B$10</f>
        <v>1047131.95</v>
      </c>
      <c r="N340" s="75">
        <f>[47]Cover!$C$10</f>
        <v>1123571</v>
      </c>
      <c r="O340" s="65">
        <f>[47]Cover!$D$10</f>
        <v>1190985</v>
      </c>
      <c r="P340" s="65">
        <f>[47]Cover!$E$10</f>
        <v>1054580</v>
      </c>
      <c r="Q340" s="65">
        <v>0</v>
      </c>
      <c r="R340" s="63">
        <f t="shared" si="59"/>
        <v>67414</v>
      </c>
      <c r="S340" s="64">
        <f t="shared" si="60"/>
        <v>5.9999768594953054E-2</v>
      </c>
      <c r="V340" s="33"/>
      <c r="W340" s="63">
        <f t="shared" si="61"/>
        <v>-68991</v>
      </c>
      <c r="X340" s="64">
        <f t="shared" si="62"/>
        <v>-6.1403329206609999E-2</v>
      </c>
    </row>
    <row r="341" spans="1:24" x14ac:dyDescent="0.2">
      <c r="A341" s="28"/>
      <c r="B341" s="30" t="s">
        <v>155</v>
      </c>
      <c r="C341" s="74">
        <v>1716650.09</v>
      </c>
      <c r="D341" s="65">
        <v>2290955</v>
      </c>
      <c r="E341" s="74">
        <v>2354114</v>
      </c>
      <c r="F341" s="65">
        <v>2682213.12</v>
      </c>
      <c r="G341" s="65">
        <f>2923233.65</f>
        <v>2923233.65</v>
      </c>
      <c r="H341" s="65">
        <v>3060721.05</v>
      </c>
      <c r="I341" s="66">
        <v>3135263</v>
      </c>
      <c r="J341" s="66">
        <v>3193940</v>
      </c>
      <c r="K341" s="65">
        <v>3425318</v>
      </c>
      <c r="L341" s="91">
        <f>[47]Cover!$B$11</f>
        <v>3358201.25</v>
      </c>
      <c r="M341" s="91">
        <f>[47]Cover!$B$11</f>
        <v>3358201.25</v>
      </c>
      <c r="N341" s="75">
        <f>[47]Cover!$C$11</f>
        <v>3542838</v>
      </c>
      <c r="O341" s="65">
        <f>[47]Cover!$D$11</f>
        <v>3755409</v>
      </c>
      <c r="P341" s="65">
        <f>[47]Cover!$E$11</f>
        <v>3502332</v>
      </c>
      <c r="Q341" s="65">
        <v>0</v>
      </c>
      <c r="R341" s="63">
        <f t="shared" si="59"/>
        <v>212571</v>
      </c>
      <c r="S341" s="64">
        <f t="shared" si="60"/>
        <v>6.0000203226904532E-2</v>
      </c>
      <c r="V341" s="33"/>
      <c r="W341" s="63">
        <f t="shared" si="61"/>
        <v>-40506</v>
      </c>
      <c r="X341" s="64">
        <f t="shared" si="62"/>
        <v>-1.1433206937489098E-2</v>
      </c>
    </row>
    <row r="342" spans="1:24" x14ac:dyDescent="0.2">
      <c r="A342" s="28"/>
      <c r="B342" s="30" t="s">
        <v>156</v>
      </c>
      <c r="C342" s="77">
        <v>0</v>
      </c>
      <c r="D342" s="65">
        <v>1500</v>
      </c>
      <c r="E342" s="65">
        <v>1961</v>
      </c>
      <c r="F342" s="65">
        <v>2050</v>
      </c>
      <c r="G342" s="65">
        <v>1138.5</v>
      </c>
      <c r="H342" s="65">
        <v>1262.8399999999999</v>
      </c>
      <c r="I342" s="66">
        <v>1162</v>
      </c>
      <c r="J342" s="66">
        <v>1068</v>
      </c>
      <c r="K342" s="65">
        <v>1161.5999999999999</v>
      </c>
      <c r="L342" s="91">
        <f>[47]Cover!$B$12</f>
        <v>1151.04</v>
      </c>
      <c r="M342" s="91">
        <f>[47]Cover!$B$12</f>
        <v>1151.04</v>
      </c>
      <c r="N342" s="75">
        <f>[47]Cover!$C$12</f>
        <v>1760</v>
      </c>
      <c r="O342" s="65">
        <f>[47]Cover!$D$12</f>
        <v>1760</v>
      </c>
      <c r="P342" s="65">
        <f>[47]Cover!$E$12</f>
        <v>1800</v>
      </c>
      <c r="Q342" s="65">
        <v>0</v>
      </c>
      <c r="R342" s="63">
        <f t="shared" si="59"/>
        <v>0</v>
      </c>
      <c r="S342" s="64">
        <f t="shared" si="60"/>
        <v>0</v>
      </c>
      <c r="W342" s="63">
        <f t="shared" si="61"/>
        <v>40</v>
      </c>
      <c r="X342" s="64">
        <f t="shared" si="62"/>
        <v>2.2727272727272728E-2</v>
      </c>
    </row>
    <row r="343" spans="1:24" x14ac:dyDescent="0.2">
      <c r="A343" s="28"/>
      <c r="B343" s="30" t="s">
        <v>157</v>
      </c>
      <c r="C343" s="77">
        <v>0</v>
      </c>
      <c r="D343" s="65">
        <v>2500</v>
      </c>
      <c r="E343" s="65">
        <v>635</v>
      </c>
      <c r="F343" s="65">
        <v>1810.8</v>
      </c>
      <c r="G343" s="65">
        <v>3426.06</v>
      </c>
      <c r="H343" s="65">
        <v>3502.36</v>
      </c>
      <c r="I343" s="66">
        <v>3486</v>
      </c>
      <c r="J343" s="66">
        <v>3203</v>
      </c>
      <c r="K343" s="65">
        <v>3484.8</v>
      </c>
      <c r="L343" s="91">
        <f>[47]Cover!$B$13</f>
        <v>3453.12</v>
      </c>
      <c r="M343" s="91">
        <f>[47]Cover!$B$13</f>
        <v>3453.12</v>
      </c>
      <c r="N343" s="75">
        <f>[47]Cover!$C$13</f>
        <v>3600</v>
      </c>
      <c r="O343" s="65">
        <f>[47]Cover!$D$13</f>
        <v>3600</v>
      </c>
      <c r="P343" s="65">
        <f>[47]Cover!$E$13</f>
        <v>3800</v>
      </c>
      <c r="Q343" s="65">
        <v>0</v>
      </c>
      <c r="R343" s="63">
        <f t="shared" si="59"/>
        <v>0</v>
      </c>
      <c r="S343" s="64">
        <f t="shared" si="60"/>
        <v>0</v>
      </c>
      <c r="W343" s="63">
        <f t="shared" si="61"/>
        <v>200</v>
      </c>
      <c r="X343" s="64">
        <f t="shared" si="62"/>
        <v>5.5555555555555552E-2</v>
      </c>
    </row>
    <row r="344" spans="1:24" x14ac:dyDescent="0.2">
      <c r="A344" s="28"/>
      <c r="B344" s="30" t="s">
        <v>159</v>
      </c>
      <c r="C344" s="77"/>
      <c r="D344" s="65"/>
      <c r="E344" s="65"/>
      <c r="F344" s="65"/>
      <c r="G344" s="65"/>
      <c r="H344" s="65"/>
      <c r="I344" s="66"/>
      <c r="J344" s="66"/>
      <c r="K344" s="65"/>
      <c r="L344" s="91">
        <f>[47]Cover!$B$14</f>
        <v>263831.28000000003</v>
      </c>
      <c r="M344" s="91">
        <f>[47]Cover!$B$14</f>
        <v>263831.28000000003</v>
      </c>
      <c r="N344" s="75">
        <f>[47]Cover!$C$14</f>
        <v>270000</v>
      </c>
      <c r="O344" s="65">
        <f>[47]Cover!$D$14</f>
        <v>280000</v>
      </c>
      <c r="P344" s="65">
        <f>[47]Cover!$E$14</f>
        <v>275000</v>
      </c>
      <c r="Q344" s="65">
        <v>0</v>
      </c>
      <c r="R344" s="63">
        <f t="shared" si="59"/>
        <v>10000</v>
      </c>
      <c r="S344" s="64">
        <f>R344/N344</f>
        <v>3.7037037037037035E-2</v>
      </c>
      <c r="W344" s="63">
        <f t="shared" si="61"/>
        <v>5000</v>
      </c>
      <c r="X344" s="64">
        <f>W344/N344</f>
        <v>1.8518518518518517E-2</v>
      </c>
    </row>
    <row r="345" spans="1:24" x14ac:dyDescent="0.2">
      <c r="A345" s="28"/>
      <c r="B345" s="30" t="s">
        <v>158</v>
      </c>
      <c r="C345" s="77"/>
      <c r="D345" s="65"/>
      <c r="E345" s="65"/>
      <c r="F345" s="65"/>
      <c r="G345" s="65">
        <v>0</v>
      </c>
      <c r="H345" s="65">
        <v>20000</v>
      </c>
      <c r="I345" s="66">
        <v>40000</v>
      </c>
      <c r="J345" s="66">
        <v>20000</v>
      </c>
      <c r="K345" s="65">
        <v>30000</v>
      </c>
      <c r="L345" s="91">
        <f>[47]Cover!$B$15</f>
        <v>20000</v>
      </c>
      <c r="M345" s="91">
        <f>[47]Cover!$B$15</f>
        <v>20000</v>
      </c>
      <c r="N345" s="65">
        <f>[47]Cover!$C$15</f>
        <v>20000</v>
      </c>
      <c r="O345" s="65">
        <f>[47]Cover!$D$15</f>
        <v>25000</v>
      </c>
      <c r="P345" s="65">
        <f>[47]Cover!$E$15</f>
        <v>20000</v>
      </c>
      <c r="Q345" s="65">
        <v>0</v>
      </c>
      <c r="R345" s="63">
        <f t="shared" si="59"/>
        <v>5000</v>
      </c>
      <c r="S345" s="64">
        <f t="shared" si="60"/>
        <v>0.25</v>
      </c>
      <c r="W345" s="63">
        <f t="shared" si="61"/>
        <v>0</v>
      </c>
      <c r="X345" s="64">
        <f t="shared" si="62"/>
        <v>0</v>
      </c>
    </row>
    <row r="346" spans="1:24" x14ac:dyDescent="0.2">
      <c r="A346" s="26">
        <v>46</v>
      </c>
      <c r="B346" s="27" t="s">
        <v>65</v>
      </c>
      <c r="C346" s="51">
        <f>SUM(C331:C345)</f>
        <v>4527876.3899999997</v>
      </c>
      <c r="D346" s="59">
        <f t="shared" ref="D346:Q346" si="63">SUM(D335:D345)</f>
        <v>4042700</v>
      </c>
      <c r="E346" s="60">
        <f t="shared" si="63"/>
        <v>3975191</v>
      </c>
      <c r="F346" s="61">
        <f t="shared" si="63"/>
        <v>4294176.01</v>
      </c>
      <c r="G346" s="61">
        <f t="shared" si="63"/>
        <v>4706440.6119999997</v>
      </c>
      <c r="H346" s="60">
        <f t="shared" si="63"/>
        <v>4902983.92</v>
      </c>
      <c r="I346" s="62">
        <f t="shared" si="63"/>
        <v>5040621</v>
      </c>
      <c r="J346" s="62">
        <f t="shared" si="63"/>
        <v>4930070</v>
      </c>
      <c r="K346" s="60">
        <f t="shared" si="63"/>
        <v>5584596.9099999992</v>
      </c>
      <c r="L346" s="115">
        <f t="shared" si="63"/>
        <v>6129234.6700000009</v>
      </c>
      <c r="M346" s="115">
        <f>SUM(M335:M345)</f>
        <v>6129234.6700000009</v>
      </c>
      <c r="N346" s="116">
        <f t="shared" si="63"/>
        <v>6618523</v>
      </c>
      <c r="O346" s="116">
        <f t="shared" si="63"/>
        <v>7029838</v>
      </c>
      <c r="P346" s="116">
        <f t="shared" si="63"/>
        <v>6625596</v>
      </c>
      <c r="Q346" s="116">
        <f t="shared" si="63"/>
        <v>0</v>
      </c>
      <c r="R346" s="63">
        <f t="shared" si="59"/>
        <v>411315</v>
      </c>
      <c r="S346" s="64">
        <f t="shared" si="60"/>
        <v>6.2146040740509625E-2</v>
      </c>
      <c r="V346" s="20" t="b">
        <f>R346=SUM(R335:R345)</f>
        <v>1</v>
      </c>
      <c r="W346" s="63">
        <f t="shared" si="61"/>
        <v>7073</v>
      </c>
      <c r="X346" s="64">
        <f t="shared" si="62"/>
        <v>1.0686674353175172E-3</v>
      </c>
    </row>
    <row r="347" spans="1:24" x14ac:dyDescent="0.2">
      <c r="A347" s="26"/>
      <c r="B347" s="27"/>
      <c r="C347" s="51"/>
      <c r="D347" s="59"/>
      <c r="E347" s="59"/>
      <c r="F347" s="65"/>
      <c r="G347" s="65"/>
      <c r="H347" s="65"/>
      <c r="I347" s="66"/>
      <c r="J347" s="66"/>
      <c r="K347" s="59"/>
      <c r="L347" s="41"/>
      <c r="M347" s="41"/>
      <c r="N347" s="59"/>
      <c r="O347" s="59"/>
      <c r="P347" s="59"/>
      <c r="Q347" s="59"/>
      <c r="R347" s="58"/>
    </row>
    <row r="348" spans="1:24" x14ac:dyDescent="0.2">
      <c r="A348" s="26"/>
      <c r="B348" s="14" t="s">
        <v>160</v>
      </c>
      <c r="C348" s="85">
        <f t="shared" ref="C348:N348" si="64">SUM(C346:C347)</f>
        <v>4527876.3899999997</v>
      </c>
      <c r="D348" s="85">
        <f t="shared" si="64"/>
        <v>4042700</v>
      </c>
      <c r="E348" s="85">
        <f t="shared" si="64"/>
        <v>3975191</v>
      </c>
      <c r="F348" s="86">
        <f t="shared" si="64"/>
        <v>4294176.01</v>
      </c>
      <c r="G348" s="86">
        <f t="shared" si="64"/>
        <v>4706440.6119999997</v>
      </c>
      <c r="H348" s="85">
        <f t="shared" si="64"/>
        <v>4902983.92</v>
      </c>
      <c r="I348" s="63">
        <f t="shared" si="64"/>
        <v>5040621</v>
      </c>
      <c r="J348" s="63">
        <f t="shared" si="64"/>
        <v>4930070</v>
      </c>
      <c r="K348" s="85">
        <f t="shared" si="64"/>
        <v>5584596.9099999992</v>
      </c>
      <c r="L348" s="85">
        <f t="shared" si="64"/>
        <v>6129234.6700000009</v>
      </c>
      <c r="M348" s="85">
        <f>SUM(M346:M347)</f>
        <v>6129234.6700000009</v>
      </c>
      <c r="N348" s="85">
        <f t="shared" si="64"/>
        <v>6618523</v>
      </c>
      <c r="O348" s="85">
        <f>SUM(O346:O347)</f>
        <v>7029838</v>
      </c>
      <c r="P348" s="85">
        <f>SUM(P346:P347)</f>
        <v>6625596</v>
      </c>
      <c r="Q348" s="85">
        <f>SUM(Q346:Q347)</f>
        <v>0</v>
      </c>
      <c r="R348" s="63">
        <f>O348-N348</f>
        <v>411315</v>
      </c>
      <c r="S348" s="64">
        <f>R348/N348</f>
        <v>6.2146040740509625E-2</v>
      </c>
      <c r="W348" s="63">
        <f>P348-N348</f>
        <v>7073</v>
      </c>
      <c r="X348" s="64">
        <f>W348/N348</f>
        <v>1.0686674353175172E-3</v>
      </c>
    </row>
    <row r="349" spans="1:24" x14ac:dyDescent="0.2">
      <c r="A349" s="26"/>
      <c r="B349" s="14"/>
      <c r="C349" s="88"/>
      <c r="D349" s="85"/>
      <c r="E349" s="85"/>
      <c r="F349" s="86"/>
      <c r="G349" s="86"/>
      <c r="H349" s="86"/>
      <c r="I349" s="93"/>
      <c r="J349" s="93"/>
      <c r="K349" s="85"/>
      <c r="L349" s="87"/>
      <c r="M349" s="87"/>
      <c r="N349" s="41"/>
      <c r="O349" s="41"/>
      <c r="P349" s="41"/>
      <c r="Q349" s="41"/>
      <c r="R349" s="69"/>
    </row>
    <row r="350" spans="1:24" x14ac:dyDescent="0.2">
      <c r="A350" s="26"/>
      <c r="B350" s="14" t="s">
        <v>161</v>
      </c>
      <c r="C350" s="88"/>
      <c r="D350" s="85"/>
      <c r="E350" s="59"/>
      <c r="F350" s="65"/>
      <c r="G350" s="65"/>
      <c r="H350" s="65"/>
      <c r="I350" s="66"/>
      <c r="J350" s="66"/>
      <c r="K350" s="59"/>
      <c r="L350" s="41"/>
      <c r="M350" s="41"/>
      <c r="N350" s="59"/>
      <c r="O350" s="59"/>
      <c r="P350" s="59"/>
      <c r="Q350" s="59"/>
      <c r="R350" s="58"/>
    </row>
    <row r="351" spans="1:24" x14ac:dyDescent="0.2">
      <c r="A351" s="26"/>
      <c r="B351" s="14"/>
      <c r="C351" s="51"/>
      <c r="D351" s="59"/>
      <c r="E351" s="59"/>
      <c r="F351" s="65"/>
      <c r="G351" s="65"/>
      <c r="H351" s="65"/>
      <c r="I351" s="66"/>
      <c r="J351" s="66"/>
      <c r="K351" s="59"/>
      <c r="L351" s="41"/>
      <c r="M351" s="41"/>
      <c r="N351" s="59"/>
      <c r="O351" s="59"/>
      <c r="P351" s="59"/>
      <c r="Q351" s="59"/>
      <c r="R351" s="58"/>
    </row>
    <row r="352" spans="1:24" x14ac:dyDescent="0.2">
      <c r="A352" s="28"/>
      <c r="B352" s="29" t="s">
        <v>162</v>
      </c>
      <c r="C352" s="77"/>
      <c r="D352" s="65"/>
      <c r="E352" s="65"/>
      <c r="F352" s="65"/>
      <c r="G352" s="65"/>
      <c r="H352" s="65"/>
      <c r="I352" s="66"/>
      <c r="J352" s="66"/>
      <c r="K352" s="65"/>
      <c r="L352" s="75"/>
      <c r="M352" s="75"/>
      <c r="N352" s="65"/>
      <c r="O352" s="65"/>
      <c r="P352" s="65"/>
      <c r="Q352" s="65"/>
      <c r="R352" s="66"/>
      <c r="S352" s="76"/>
    </row>
    <row r="353" spans="1:24" x14ac:dyDescent="0.2">
      <c r="A353" s="28"/>
      <c r="B353" s="30" t="s">
        <v>162</v>
      </c>
      <c r="C353" s="79">
        <v>362481.95</v>
      </c>
      <c r="D353" s="71">
        <v>304947</v>
      </c>
      <c r="E353" s="79">
        <v>303853</v>
      </c>
      <c r="F353" s="71">
        <v>282268.56</v>
      </c>
      <c r="G353" s="71">
        <v>305136.8</v>
      </c>
      <c r="H353" s="71">
        <v>312019.59999999998</v>
      </c>
      <c r="I353" s="72">
        <v>281999</v>
      </c>
      <c r="J353" s="72">
        <v>293062</v>
      </c>
      <c r="K353" s="71">
        <v>319916.24</v>
      </c>
      <c r="L353" s="80">
        <f>[47]Cover!$B$19</f>
        <v>360188.44</v>
      </c>
      <c r="M353" s="80">
        <f>[47]Cover!$B$19</f>
        <v>360188.44</v>
      </c>
      <c r="N353" s="71">
        <f>[47]Cover!$C$19</f>
        <v>385000</v>
      </c>
      <c r="O353" s="71">
        <f>[47]Cover!$D$19</f>
        <v>395000</v>
      </c>
      <c r="P353" s="71">
        <f>[47]Cover!$E$19</f>
        <v>402000</v>
      </c>
      <c r="Q353" s="71">
        <v>0</v>
      </c>
      <c r="R353" s="106"/>
      <c r="S353" s="76"/>
    </row>
    <row r="354" spans="1:24" x14ac:dyDescent="0.2">
      <c r="A354" s="28">
        <v>47</v>
      </c>
      <c r="B354" s="30" t="s">
        <v>65</v>
      </c>
      <c r="C354" s="77">
        <v>362481.95</v>
      </c>
      <c r="D354" s="65">
        <f t="shared" ref="D354:N354" si="65">SUM(D353:D353)</f>
        <v>304947</v>
      </c>
      <c r="E354" s="65">
        <f t="shared" si="65"/>
        <v>303853</v>
      </c>
      <c r="F354" s="65">
        <f t="shared" si="65"/>
        <v>282268.56</v>
      </c>
      <c r="G354" s="65">
        <f t="shared" si="65"/>
        <v>305136.8</v>
      </c>
      <c r="H354" s="65">
        <f t="shared" si="65"/>
        <v>312019.59999999998</v>
      </c>
      <c r="I354" s="66">
        <f t="shared" si="65"/>
        <v>281999</v>
      </c>
      <c r="J354" s="66">
        <f t="shared" si="65"/>
        <v>293062</v>
      </c>
      <c r="K354" s="65">
        <f t="shared" si="65"/>
        <v>319916.24</v>
      </c>
      <c r="L354" s="75">
        <f t="shared" si="65"/>
        <v>360188.44</v>
      </c>
      <c r="M354" s="75">
        <f>SUM(M353:M353)</f>
        <v>360188.44</v>
      </c>
      <c r="N354" s="65">
        <f t="shared" si="65"/>
        <v>385000</v>
      </c>
      <c r="O354" s="65">
        <f>SUM(O353:O353)</f>
        <v>395000</v>
      </c>
      <c r="P354" s="65">
        <f>SUM(P353:P353)</f>
        <v>402000</v>
      </c>
      <c r="Q354" s="65">
        <f>SUM(Q353:Q353)</f>
        <v>0</v>
      </c>
      <c r="R354" s="63">
        <f>O354-N354</f>
        <v>10000</v>
      </c>
      <c r="S354" s="64">
        <f>R354/N354</f>
        <v>2.5974025974025976E-2</v>
      </c>
      <c r="W354" s="63">
        <f>P354-N354</f>
        <v>17000</v>
      </c>
      <c r="X354" s="64">
        <f>W354/N354</f>
        <v>4.4155844155844157E-2</v>
      </c>
    </row>
    <row r="355" spans="1:24" x14ac:dyDescent="0.2">
      <c r="A355" s="26"/>
      <c r="B355" s="27"/>
      <c r="C355" s="51"/>
      <c r="D355" s="59"/>
      <c r="E355" s="59"/>
      <c r="F355" s="65"/>
      <c r="G355" s="65"/>
      <c r="H355" s="65"/>
      <c r="I355" s="66"/>
      <c r="J355" s="66"/>
      <c r="K355" s="59"/>
      <c r="L355" s="41"/>
      <c r="M355" s="41"/>
      <c r="N355" s="59"/>
      <c r="O355" s="59"/>
      <c r="P355" s="59"/>
      <c r="Q355" s="59"/>
      <c r="R355" s="58"/>
    </row>
    <row r="356" spans="1:24" x14ac:dyDescent="0.2">
      <c r="A356" s="26"/>
      <c r="B356" s="14" t="s">
        <v>163</v>
      </c>
      <c r="C356" s="85">
        <f t="shared" ref="C356:N356" si="66">SUM(C354)</f>
        <v>362481.95</v>
      </c>
      <c r="D356" s="85">
        <f t="shared" si="66"/>
        <v>304947</v>
      </c>
      <c r="E356" s="85">
        <f t="shared" si="66"/>
        <v>303853</v>
      </c>
      <c r="F356" s="86">
        <f t="shared" si="66"/>
        <v>282268.56</v>
      </c>
      <c r="G356" s="86">
        <f t="shared" si="66"/>
        <v>305136.8</v>
      </c>
      <c r="H356" s="85">
        <f t="shared" si="66"/>
        <v>312019.59999999998</v>
      </c>
      <c r="I356" s="63">
        <f t="shared" si="66"/>
        <v>281999</v>
      </c>
      <c r="J356" s="63">
        <f t="shared" si="66"/>
        <v>293062</v>
      </c>
      <c r="K356" s="85">
        <f t="shared" si="66"/>
        <v>319916.24</v>
      </c>
      <c r="L356" s="87">
        <f t="shared" si="66"/>
        <v>360188.44</v>
      </c>
      <c r="M356" s="87">
        <f>SUM(M354)</f>
        <v>360188.44</v>
      </c>
      <c r="N356" s="85">
        <f t="shared" si="66"/>
        <v>385000</v>
      </c>
      <c r="O356" s="85">
        <f>SUM(O354)</f>
        <v>395000</v>
      </c>
      <c r="P356" s="85">
        <f>SUM(P354)</f>
        <v>402000</v>
      </c>
      <c r="Q356" s="85">
        <f>SUM(Q354)</f>
        <v>0</v>
      </c>
      <c r="R356" s="63">
        <f>O356-N356</f>
        <v>10000</v>
      </c>
      <c r="S356" s="64">
        <f>R356/N356</f>
        <v>2.5974025974025976E-2</v>
      </c>
      <c r="W356" s="63">
        <f>P356-N356</f>
        <v>17000</v>
      </c>
      <c r="X356" s="64">
        <f>W356/N356</f>
        <v>4.4155844155844157E-2</v>
      </c>
    </row>
    <row r="357" spans="1:24" x14ac:dyDescent="0.2">
      <c r="A357" s="26"/>
      <c r="B357" s="27"/>
      <c r="C357" s="51"/>
      <c r="D357" s="59"/>
      <c r="E357" s="85"/>
      <c r="F357" s="86"/>
      <c r="G357" s="86"/>
      <c r="H357" s="86"/>
      <c r="I357" s="93"/>
      <c r="J357" s="93"/>
      <c r="K357" s="85"/>
      <c r="L357" s="87"/>
      <c r="M357" s="87"/>
      <c r="N357" s="85"/>
      <c r="O357" s="59"/>
      <c r="P357" s="59"/>
      <c r="Q357" s="85"/>
      <c r="R357" s="63"/>
    </row>
    <row r="358" spans="1:24" x14ac:dyDescent="0.2">
      <c r="A358" s="26"/>
      <c r="B358" s="14" t="s">
        <v>164</v>
      </c>
      <c r="C358" s="85" t="e">
        <f>SUM(C356,C348,C331,C323,C292,C260,C205,C176,C112)</f>
        <v>#REF!</v>
      </c>
      <c r="D358" s="85" t="e">
        <f>SUM(D356,D348,D331,D323,D292,D260,D205,D176,D112)</f>
        <v>#REF!</v>
      </c>
      <c r="E358" s="85" t="e">
        <f>SUM(E356,E348,E331,E323,E292,E260,E205,E176,E112)</f>
        <v>#REF!</v>
      </c>
      <c r="F358" s="86" t="e">
        <f>SUM(F356,F348,F331,F323,F292,F260,F205,F176,F112)</f>
        <v>#REF!</v>
      </c>
      <c r="G358" s="86" t="e">
        <f>SUM(G356,G348,G331,G323,G292,G260,G205,G176,G112)</f>
        <v>#REF!</v>
      </c>
      <c r="H358" s="85">
        <f>SUM(H112+H176+H205+H260+H292+H323+H331+H348+H356)</f>
        <v>29678312.039999999</v>
      </c>
      <c r="I358" s="63" t="e">
        <f>SUM(I112+I176+I205+I260+I292+I323+I331+I348+I356)</f>
        <v>#REF!</v>
      </c>
      <c r="J358" s="93">
        <f t="shared" ref="J358:Q358" si="67">SUM(J356,J348,J331,J323,J292,J260,J205,J176,J112)</f>
        <v>32016464</v>
      </c>
      <c r="K358" s="86">
        <f t="shared" si="67"/>
        <v>33123447.514000002</v>
      </c>
      <c r="L358" s="86" t="e">
        <f t="shared" si="67"/>
        <v>#REF!</v>
      </c>
      <c r="M358" s="86">
        <f t="shared" si="67"/>
        <v>35112773.100000001</v>
      </c>
      <c r="N358" s="86">
        <f t="shared" si="67"/>
        <v>36984944</v>
      </c>
      <c r="O358" s="85">
        <f t="shared" si="67"/>
        <v>39039944.280000001</v>
      </c>
      <c r="P358" s="85">
        <f t="shared" si="67"/>
        <v>37860409</v>
      </c>
      <c r="Q358" s="85">
        <f t="shared" si="67"/>
        <v>0</v>
      </c>
      <c r="R358" s="63">
        <f>O358-N358</f>
        <v>2055000.2800000012</v>
      </c>
      <c r="S358" s="64">
        <f>R358/N358</f>
        <v>5.5563157808215177E-2</v>
      </c>
      <c r="T358" s="117"/>
      <c r="V358" s="33" t="b">
        <f>R358=SUM(R112+R176+R205+R260+R292+R323+R331+R348+R356)</f>
        <v>0</v>
      </c>
      <c r="W358" s="63">
        <f>P358-N358</f>
        <v>875465</v>
      </c>
      <c r="X358" s="64">
        <f>W358/N358</f>
        <v>2.367084833222946E-2</v>
      </c>
    </row>
    <row r="359" spans="1:24" x14ac:dyDescent="0.2">
      <c r="A359" s="26"/>
      <c r="B359" s="14"/>
      <c r="C359" s="51"/>
      <c r="D359" s="59"/>
      <c r="E359" s="85"/>
      <c r="K359" s="85"/>
      <c r="L359" s="41"/>
      <c r="M359" s="41"/>
      <c r="N359" s="41"/>
      <c r="O359" s="41"/>
      <c r="P359" s="41"/>
      <c r="Q359" s="41"/>
      <c r="R359" s="69"/>
    </row>
    <row r="360" spans="1:24" x14ac:dyDescent="0.2">
      <c r="A360" s="26"/>
      <c r="B360" s="14" t="s">
        <v>165</v>
      </c>
      <c r="C360" s="88"/>
      <c r="D360" s="85"/>
      <c r="E360" s="85"/>
      <c r="K360" s="85"/>
      <c r="L360" s="118"/>
      <c r="M360" s="118"/>
      <c r="N360" s="128"/>
      <c r="O360" s="59"/>
      <c r="P360" s="59"/>
      <c r="Q360" s="85"/>
      <c r="R360" s="63"/>
    </row>
    <row r="361" spans="1:24" x14ac:dyDescent="0.2">
      <c r="A361" s="26"/>
      <c r="B361" s="27"/>
      <c r="C361" s="51"/>
      <c r="D361" s="59"/>
      <c r="E361" s="59"/>
      <c r="K361" s="59"/>
      <c r="L361" s="94"/>
      <c r="M361" s="94"/>
      <c r="N361" s="59"/>
      <c r="O361" s="121"/>
      <c r="P361" s="59"/>
      <c r="Q361" s="59"/>
      <c r="R361" s="58"/>
    </row>
    <row r="362" spans="1:24" x14ac:dyDescent="0.2">
      <c r="A362" s="26"/>
      <c r="B362" s="14" t="s">
        <v>166</v>
      </c>
      <c r="C362" s="88"/>
      <c r="D362" s="85"/>
      <c r="E362" s="59"/>
      <c r="K362" s="59"/>
      <c r="L362" s="41"/>
      <c r="M362" s="41"/>
      <c r="N362" s="59"/>
      <c r="O362" s="59"/>
      <c r="P362" s="59"/>
      <c r="Q362" s="59"/>
      <c r="R362" s="58"/>
    </row>
    <row r="363" spans="1:24" x14ac:dyDescent="0.2">
      <c r="A363" s="26"/>
      <c r="B363" s="27" t="s">
        <v>64</v>
      </c>
      <c r="C363" s="51">
        <v>195397.66999999998</v>
      </c>
      <c r="D363" s="51">
        <v>196640</v>
      </c>
      <c r="E363" s="51">
        <v>240635</v>
      </c>
      <c r="F363" s="51">
        <v>238613.08</v>
      </c>
      <c r="G363" s="51">
        <v>249483.1</v>
      </c>
      <c r="H363" s="51">
        <f>3738+60925+35807.58+140062.97+18490.76+1200+431.22</f>
        <v>260655.53</v>
      </c>
      <c r="I363" s="68">
        <v>270227.58999999997</v>
      </c>
      <c r="J363" s="68">
        <v>268598</v>
      </c>
      <c r="K363" s="51">
        <f>3558.08+14520.76+35955.36+141921.07+11322.07+23423.54+1050+2147.02</f>
        <v>233897.90000000002</v>
      </c>
      <c r="L363" s="41">
        <f>[48]Cover!$B$12</f>
        <v>211643.61000000002</v>
      </c>
      <c r="M363" s="41">
        <f>[48]Cover!$B$12</f>
        <v>211643.61000000002</v>
      </c>
      <c r="N363" s="59">
        <f>[48]Cover!$C$12</f>
        <v>252928</v>
      </c>
      <c r="O363" s="59">
        <f>[48]Cover!$D$12</f>
        <v>254898</v>
      </c>
      <c r="P363" s="59">
        <f>[48]Cover!$E$12</f>
        <v>254898</v>
      </c>
      <c r="Q363" s="59"/>
      <c r="R363" s="63"/>
    </row>
    <row r="364" spans="1:24" x14ac:dyDescent="0.2">
      <c r="A364" s="26"/>
      <c r="B364" s="27" t="s">
        <v>67</v>
      </c>
      <c r="C364" s="51">
        <f>41190.81+1600.44+152812.25</f>
        <v>195603.5</v>
      </c>
      <c r="D364" s="59">
        <v>23930</v>
      </c>
      <c r="E364" s="59">
        <v>214498</v>
      </c>
      <c r="F364" s="65">
        <v>236709.82</v>
      </c>
      <c r="G364" s="65">
        <f>175932.51+2549.41+22072.73+500+1187</f>
        <v>202241.65000000002</v>
      </c>
      <c r="H364" s="65">
        <f>1804557.4-463738-284239-H363-H365-H366-H367</f>
        <v>277372.96999999986</v>
      </c>
      <c r="I364" s="66">
        <v>323991</v>
      </c>
      <c r="J364" s="66">
        <v>284380</v>
      </c>
      <c r="K364" s="59">
        <f>183292.87+36964.67+1313.5+13711.35</f>
        <v>235282.38999999998</v>
      </c>
      <c r="L364" s="41">
        <f>[48]Cover!$B$15+[48]Cover!$B$18+[48]Cover!$B$24</f>
        <v>302242.28999999998</v>
      </c>
      <c r="M364" s="41">
        <f>[48]Cover!$B$15+[48]Cover!$B$18+[48]Cover!$B$24</f>
        <v>302242.28999999998</v>
      </c>
      <c r="N364" s="59">
        <f>[48]Cover!$C$15+[48]Cover!$C$18+[48]Cover!$C$24</f>
        <v>307439</v>
      </c>
      <c r="O364" s="59">
        <f>[48]Cover!$D$15+[48]Cover!$D$18+[48]Cover!$D$24</f>
        <v>344189</v>
      </c>
      <c r="P364" s="59">
        <f>[48]Cover!$E$15+[48]Cover!$E$18+[48]Cover!$E$24</f>
        <v>334189</v>
      </c>
      <c r="Q364" s="59"/>
      <c r="R364" s="63"/>
    </row>
    <row r="365" spans="1:24" x14ac:dyDescent="0.2">
      <c r="A365" s="26"/>
      <c r="B365" s="27" t="s">
        <v>167</v>
      </c>
      <c r="C365" s="51">
        <v>0</v>
      </c>
      <c r="D365" s="59">
        <v>120000</v>
      </c>
      <c r="E365" s="59">
        <v>483844</v>
      </c>
      <c r="F365" s="65">
        <v>424289.85</v>
      </c>
      <c r="G365" s="65">
        <v>452496.08</v>
      </c>
      <c r="H365" s="65">
        <v>506551.9</v>
      </c>
      <c r="I365" s="66">
        <v>521041</v>
      </c>
      <c r="J365" s="66">
        <v>572921</v>
      </c>
      <c r="K365" s="59">
        <v>670986</v>
      </c>
      <c r="L365" s="41">
        <f>[48]Cover!$B$21</f>
        <v>783062</v>
      </c>
      <c r="M365" s="41">
        <f>[48]Cover!$B$21</f>
        <v>783062</v>
      </c>
      <c r="N365" s="59">
        <f>[48]Cover!$C$21</f>
        <v>827412</v>
      </c>
      <c r="O365" s="59">
        <f>[48]Cover!$D$21</f>
        <v>883287</v>
      </c>
      <c r="P365" s="59">
        <f>[48]Cover!$E$21</f>
        <v>883287</v>
      </c>
      <c r="Q365" s="59"/>
      <c r="R365" s="63"/>
    </row>
    <row r="366" spans="1:24" x14ac:dyDescent="0.2">
      <c r="A366" s="26"/>
      <c r="B366" s="27" t="s">
        <v>168</v>
      </c>
      <c r="C366" s="51">
        <v>0</v>
      </c>
      <c r="D366" s="59">
        <v>0</v>
      </c>
      <c r="E366" s="59">
        <v>0</v>
      </c>
      <c r="F366" s="65">
        <v>0</v>
      </c>
      <c r="G366" s="65">
        <v>0</v>
      </c>
      <c r="H366" s="65">
        <v>0</v>
      </c>
      <c r="I366" s="66">
        <v>0</v>
      </c>
      <c r="J366" s="66">
        <v>0</v>
      </c>
      <c r="K366" s="59">
        <v>0</v>
      </c>
      <c r="L366" s="41">
        <f>[48]Cover!$B$30</f>
        <v>50000</v>
      </c>
      <c r="M366" s="41">
        <f>[48]Cover!$B$30</f>
        <v>50000</v>
      </c>
      <c r="N366" s="59">
        <f>[48]Cover!$C$30</f>
        <v>50000</v>
      </c>
      <c r="O366" s="59">
        <f>[48]Cover!$D$30</f>
        <v>50000</v>
      </c>
      <c r="P366" s="59">
        <f>[48]Cover!$E$30</f>
        <v>50000</v>
      </c>
      <c r="Q366" s="59"/>
      <c r="R366" s="63"/>
    </row>
    <row r="367" spans="1:24" x14ac:dyDescent="0.2">
      <c r="A367" s="26"/>
      <c r="B367" s="27" t="s">
        <v>68</v>
      </c>
      <c r="C367" s="56">
        <v>6766.43</v>
      </c>
      <c r="D367" s="70">
        <v>130000</v>
      </c>
      <c r="E367" s="70">
        <v>9431</v>
      </c>
      <c r="F367" s="71">
        <v>110279.33</v>
      </c>
      <c r="G367" s="71">
        <f>14904.88+3930.4</f>
        <v>18835.28</v>
      </c>
      <c r="H367" s="71">
        <v>12000</v>
      </c>
      <c r="I367" s="72">
        <v>13096</v>
      </c>
      <c r="J367" s="72">
        <v>47597</v>
      </c>
      <c r="K367" s="70">
        <v>11947.27</v>
      </c>
      <c r="L367" s="73">
        <f>[48]Cover!$B$27</f>
        <v>106480.74</v>
      </c>
      <c r="M367" s="73">
        <f>[48]Cover!$B$27</f>
        <v>106480.74</v>
      </c>
      <c r="N367" s="70">
        <f>[48]Cover!$C$27</f>
        <v>25000</v>
      </c>
      <c r="O367" s="70">
        <f>[48]Cover!$D$27</f>
        <v>70000</v>
      </c>
      <c r="P367" s="70">
        <f>[48]Cover!$E$27</f>
        <v>70000</v>
      </c>
      <c r="Q367" s="71"/>
      <c r="R367" s="63"/>
    </row>
    <row r="368" spans="1:24" x14ac:dyDescent="0.2">
      <c r="A368" s="26">
        <v>48</v>
      </c>
      <c r="B368" s="14" t="s">
        <v>169</v>
      </c>
      <c r="C368" s="51">
        <f t="shared" ref="C368:N368" si="68">SUM(C363:C367)</f>
        <v>397767.6</v>
      </c>
      <c r="D368" s="59">
        <f t="shared" si="68"/>
        <v>470570</v>
      </c>
      <c r="E368" s="103">
        <f t="shared" si="68"/>
        <v>948408</v>
      </c>
      <c r="F368" s="104">
        <f t="shared" si="68"/>
        <v>1009892.08</v>
      </c>
      <c r="G368" s="104">
        <f t="shared" si="68"/>
        <v>923056.1100000001</v>
      </c>
      <c r="H368" s="103">
        <f t="shared" si="68"/>
        <v>1056580.3999999999</v>
      </c>
      <c r="I368" s="105">
        <f t="shared" si="68"/>
        <v>1128355.5899999999</v>
      </c>
      <c r="J368" s="105">
        <f t="shared" si="68"/>
        <v>1173496</v>
      </c>
      <c r="K368" s="103">
        <f t="shared" si="68"/>
        <v>1152113.56</v>
      </c>
      <c r="L368" s="103">
        <f t="shared" si="68"/>
        <v>1453428.64</v>
      </c>
      <c r="M368" s="103">
        <f>SUM(M363:M367)</f>
        <v>1453428.64</v>
      </c>
      <c r="N368" s="103">
        <f t="shared" si="68"/>
        <v>1462779</v>
      </c>
      <c r="O368" s="85">
        <f>SUM(O363:O367)</f>
        <v>1602374</v>
      </c>
      <c r="P368" s="85">
        <f>SUM(P363:P367)</f>
        <v>1592374</v>
      </c>
      <c r="Q368" s="85">
        <f>SUM(Q363:Q367)</f>
        <v>0</v>
      </c>
      <c r="R368" s="63">
        <f>O368-N368</f>
        <v>139595</v>
      </c>
      <c r="S368" s="64">
        <f>R368/N368</f>
        <v>9.543136728104519E-2</v>
      </c>
      <c r="W368" s="63">
        <f>P368-N368</f>
        <v>129595</v>
      </c>
      <c r="X368" s="64">
        <f>W368/N368</f>
        <v>8.8595064599642184E-2</v>
      </c>
    </row>
    <row r="369" spans="1:24" x14ac:dyDescent="0.2">
      <c r="A369" s="26"/>
      <c r="B369" s="27"/>
      <c r="C369" s="51"/>
      <c r="D369" s="59"/>
      <c r="E369" s="59"/>
      <c r="F369" s="65"/>
      <c r="G369" s="65"/>
      <c r="H369" s="65"/>
      <c r="I369" s="66"/>
      <c r="J369" s="66"/>
      <c r="K369" s="59"/>
      <c r="L369" s="41"/>
      <c r="M369" s="41"/>
      <c r="N369" s="41"/>
      <c r="O369" s="41"/>
      <c r="P369" s="41"/>
      <c r="Q369" s="41"/>
      <c r="R369" s="69"/>
    </row>
    <row r="370" spans="1:24" x14ac:dyDescent="0.2">
      <c r="A370" s="26"/>
      <c r="B370" s="14" t="s">
        <v>170</v>
      </c>
      <c r="C370" s="85" t="e">
        <f t="shared" ref="C370:H370" si="69">SUM(C358,C368)</f>
        <v>#REF!</v>
      </c>
      <c r="D370" s="85" t="e">
        <f t="shared" si="69"/>
        <v>#REF!</v>
      </c>
      <c r="E370" s="85" t="e">
        <f t="shared" si="69"/>
        <v>#REF!</v>
      </c>
      <c r="F370" s="86" t="e">
        <f t="shared" si="69"/>
        <v>#REF!</v>
      </c>
      <c r="G370" s="86" t="e">
        <f t="shared" si="69"/>
        <v>#REF!</v>
      </c>
      <c r="H370" s="85">
        <f t="shared" si="69"/>
        <v>30734892.439999998</v>
      </c>
      <c r="I370" s="63" t="e">
        <f>SUM(I358,I368)+1374487</f>
        <v>#REF!</v>
      </c>
      <c r="J370" s="63">
        <f t="shared" ref="J370:Q370" si="70">SUM(J358,J368)</f>
        <v>33189960</v>
      </c>
      <c r="K370" s="85">
        <f t="shared" si="70"/>
        <v>34275561.074000001</v>
      </c>
      <c r="L370" s="85" t="e">
        <f t="shared" si="70"/>
        <v>#REF!</v>
      </c>
      <c r="M370" s="85">
        <f>SUM(M358,M368)</f>
        <v>36566201.740000002</v>
      </c>
      <c r="N370" s="85">
        <f t="shared" si="70"/>
        <v>38447723</v>
      </c>
      <c r="O370" s="85">
        <f t="shared" si="70"/>
        <v>40642318.280000001</v>
      </c>
      <c r="P370" s="85">
        <f>SUM(P358,P368)</f>
        <v>39452783</v>
      </c>
      <c r="Q370" s="85">
        <f t="shared" si="70"/>
        <v>0</v>
      </c>
      <c r="R370" s="63">
        <f>O370-N370</f>
        <v>2194595.2800000012</v>
      </c>
      <c r="S370" s="64">
        <f>R370/N370</f>
        <v>5.707998052316391E-2</v>
      </c>
      <c r="V370" s="20" t="b">
        <f>R370=SUM(R358+R368)</f>
        <v>1</v>
      </c>
      <c r="W370" s="63">
        <f>P370-N370</f>
        <v>1005060</v>
      </c>
      <c r="X370" s="64">
        <f>W370/N370</f>
        <v>2.6140949881479327E-2</v>
      </c>
    </row>
    <row r="371" spans="1:24" x14ac:dyDescent="0.2">
      <c r="A371" s="26"/>
      <c r="B371" s="27"/>
      <c r="C371" s="51"/>
      <c r="D371" s="59"/>
      <c r="E371" s="59"/>
      <c r="K371" s="59"/>
      <c r="L371" s="41"/>
      <c r="M371" s="41"/>
      <c r="N371" s="59"/>
      <c r="O371" s="59"/>
      <c r="P371" s="59"/>
      <c r="Q371" s="59"/>
      <c r="R371" s="58"/>
      <c r="W371" s="63"/>
      <c r="X371" s="64"/>
    </row>
    <row r="372" spans="1:24" x14ac:dyDescent="0.2">
      <c r="A372" s="26"/>
      <c r="B372" s="27"/>
      <c r="C372" s="51"/>
      <c r="D372" s="59"/>
      <c r="E372" s="59"/>
      <c r="H372" s="74">
        <v>30951036.120000001</v>
      </c>
      <c r="K372" s="119"/>
      <c r="L372" s="119"/>
      <c r="M372" s="119"/>
      <c r="N372" s="119"/>
      <c r="O372" s="119"/>
      <c r="P372" s="119"/>
      <c r="Q372" s="119"/>
      <c r="R372" s="120"/>
      <c r="S372" s="64"/>
      <c r="W372" s="63"/>
      <c r="X372" s="64"/>
    </row>
    <row r="373" spans="1:24" s="1" customFormat="1" x14ac:dyDescent="0.2">
      <c r="A373" s="26"/>
      <c r="B373" s="14"/>
      <c r="C373" s="51"/>
      <c r="D373" s="59"/>
      <c r="E373" s="59"/>
      <c r="F373" s="65"/>
      <c r="G373" s="65"/>
      <c r="H373" s="65">
        <f>H370-H372</f>
        <v>-216143.68000000343</v>
      </c>
      <c r="I373" s="66"/>
      <c r="J373" s="66"/>
      <c r="K373" s="59"/>
      <c r="L373" s="121"/>
      <c r="M373" s="121"/>
      <c r="N373" s="121"/>
      <c r="O373" s="121"/>
      <c r="P373" s="121"/>
      <c r="Q373" s="121"/>
      <c r="R373" s="122"/>
      <c r="S373" s="123"/>
      <c r="W373" s="63"/>
      <c r="X373" s="64"/>
    </row>
    <row r="374" spans="1:24" s="1" customFormat="1" ht="15.75" customHeight="1" x14ac:dyDescent="0.2">
      <c r="A374" s="26"/>
      <c r="B374" s="27"/>
      <c r="C374" s="67"/>
      <c r="D374" s="59"/>
      <c r="E374" s="59"/>
      <c r="F374" s="61"/>
      <c r="G374" s="61"/>
      <c r="H374" s="61"/>
      <c r="I374" s="81"/>
      <c r="J374" s="81"/>
      <c r="K374" s="59"/>
      <c r="L374" s="60"/>
      <c r="M374" s="60"/>
      <c r="N374" s="59"/>
      <c r="O374" s="129">
        <v>3575193.2023499999</v>
      </c>
      <c r="P374" s="59">
        <v>3496457.2634999999</v>
      </c>
      <c r="Q374" s="59"/>
      <c r="R374" s="58"/>
      <c r="S374" s="123"/>
      <c r="W374" s="63"/>
      <c r="X374" s="64"/>
    </row>
    <row r="375" spans="1:24" s="1" customFormat="1" x14ac:dyDescent="0.2">
      <c r="A375" s="26"/>
      <c r="B375" s="27"/>
      <c r="C375" s="67"/>
      <c r="D375" s="59"/>
      <c r="E375" s="59"/>
      <c r="F375" s="61"/>
      <c r="G375" s="61"/>
      <c r="H375" s="61"/>
      <c r="I375" s="81"/>
      <c r="J375" s="81"/>
      <c r="K375" s="59"/>
      <c r="L375" s="60"/>
      <c r="M375" s="60"/>
      <c r="N375" s="41"/>
      <c r="O375" s="130">
        <v>1049384.2765500001</v>
      </c>
      <c r="P375" s="41">
        <v>1049384.2765500001</v>
      </c>
      <c r="Q375" s="41"/>
      <c r="R375" s="69"/>
      <c r="S375" s="123"/>
      <c r="W375" s="63"/>
      <c r="X375" s="64"/>
    </row>
    <row r="376" spans="1:24" s="1" customFormat="1" x14ac:dyDescent="0.2">
      <c r="A376" s="26"/>
      <c r="B376" s="27"/>
      <c r="C376" s="67"/>
      <c r="D376" s="67"/>
      <c r="E376" s="59"/>
      <c r="F376" s="61"/>
      <c r="G376" s="61"/>
      <c r="H376" s="61"/>
      <c r="I376" s="81"/>
      <c r="J376" s="81"/>
      <c r="K376" s="61"/>
      <c r="L376" s="61"/>
      <c r="M376" s="61"/>
      <c r="N376" s="121"/>
      <c r="O376" s="121"/>
      <c r="P376" s="121"/>
      <c r="Q376" s="121"/>
      <c r="R376" s="122"/>
      <c r="S376" s="123"/>
      <c r="W376" s="63"/>
      <c r="X376" s="64"/>
    </row>
    <row r="377" spans="1:24" s="1" customFormat="1" x14ac:dyDescent="0.2">
      <c r="C377" s="67"/>
      <c r="D377" s="67"/>
      <c r="E377" s="59"/>
      <c r="F377" s="65"/>
      <c r="G377" s="65"/>
      <c r="H377" s="65"/>
      <c r="I377" s="66"/>
      <c r="J377" s="66"/>
      <c r="K377" s="59"/>
      <c r="L377" s="121"/>
      <c r="M377" s="121"/>
      <c r="N377" s="119"/>
      <c r="O377" s="119"/>
      <c r="P377" s="119"/>
      <c r="Q377" s="119"/>
      <c r="R377" s="120"/>
      <c r="S377" s="123"/>
    </row>
    <row r="378" spans="1:24" s="1" customFormat="1" x14ac:dyDescent="0.2">
      <c r="C378" s="67"/>
      <c r="D378" s="67"/>
      <c r="E378" s="59"/>
      <c r="F378" s="65"/>
      <c r="G378" s="65"/>
      <c r="H378" s="65"/>
      <c r="I378" s="66"/>
      <c r="J378" s="66"/>
      <c r="K378" s="59"/>
      <c r="L378" s="59"/>
      <c r="M378" s="59"/>
      <c r="N378" s="59"/>
      <c r="O378" s="59"/>
      <c r="P378" s="59"/>
      <c r="Q378" s="59"/>
      <c r="R378" s="58"/>
      <c r="S378" s="123"/>
    </row>
    <row r="379" spans="1:24" s="1" customFormat="1" x14ac:dyDescent="0.2">
      <c r="B379" s="12"/>
      <c r="C379" s="67"/>
      <c r="D379" s="67"/>
      <c r="E379" s="59"/>
      <c r="F379" s="86"/>
      <c r="G379" s="86"/>
      <c r="H379" s="86"/>
      <c r="I379" s="93"/>
      <c r="J379" s="93"/>
      <c r="K379" s="59"/>
      <c r="L379" s="85"/>
      <c r="M379" s="85"/>
      <c r="N379" s="59"/>
      <c r="O379" s="59"/>
      <c r="P379" s="59"/>
      <c r="Q379" s="59"/>
      <c r="R379" s="58"/>
      <c r="S379" s="123"/>
    </row>
    <row r="380" spans="1:24" s="1" customFormat="1" x14ac:dyDescent="0.2">
      <c r="C380" s="67"/>
      <c r="D380" s="67"/>
      <c r="E380" s="59"/>
      <c r="F380" s="65"/>
      <c r="G380" s="65"/>
      <c r="H380" s="65"/>
      <c r="I380" s="66"/>
      <c r="J380" s="66"/>
      <c r="K380" s="59"/>
      <c r="L380" s="59"/>
      <c r="M380" s="59"/>
      <c r="N380" s="59"/>
      <c r="O380" s="59"/>
      <c r="P380" s="59"/>
      <c r="Q380" s="59"/>
      <c r="R380" s="58"/>
      <c r="S380" s="123"/>
    </row>
    <row r="381" spans="1:24" x14ac:dyDescent="0.2">
      <c r="A381" s="34"/>
      <c r="B381" s="34"/>
      <c r="C381" s="124"/>
      <c r="D381" s="124"/>
      <c r="E381" s="124"/>
      <c r="F381" s="124"/>
      <c r="G381" s="124"/>
      <c r="H381" s="124"/>
      <c r="I381" s="125"/>
      <c r="J381" s="125"/>
      <c r="K381" s="124"/>
      <c r="L381" s="124"/>
      <c r="M381" s="124"/>
      <c r="N381" s="124"/>
      <c r="O381" s="126"/>
      <c r="P381" s="126"/>
      <c r="Q381" s="124"/>
      <c r="R381" s="125"/>
    </row>
  </sheetData>
  <mergeCells count="2">
    <mergeCell ref="R2:S2"/>
    <mergeCell ref="W2:X2"/>
  </mergeCells>
  <pageMargins left="0.7" right="0.7" top="0.75" bottom="0.75" header="0.3" footer="0.3"/>
  <pageSetup scale="54" fitToHeight="0" orientation="landscape" r:id="rId1"/>
  <headerFooter alignWithMargins="0">
    <oddHeader>&amp;C&amp;"Arial,Bold"FISCAL YEAR 2016
 TOWN MANAGER BUDGET RECOMMENDATION</oddHeader>
  </headerFooter>
  <rowBreaks count="5" manualBreakCount="5">
    <brk id="49" max="13" man="1"/>
    <brk id="112" max="16383" man="1"/>
    <brk id="205" max="16383" man="1"/>
    <brk id="260" max="16383" man="1"/>
    <brk id="3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Revenue</vt:lpstr>
      <vt:lpstr>Amount To Be Raised</vt:lpstr>
      <vt:lpstr>Expenditures</vt:lpstr>
      <vt:lpstr>Revenue!Print_Area</vt:lpstr>
    </vt:vector>
  </TitlesOfParts>
  <Company>Town of Millbury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Spain</dc:creator>
  <cp:lastModifiedBy>Bob Spain</cp:lastModifiedBy>
  <cp:lastPrinted>2015-03-03T19:07:43Z</cp:lastPrinted>
  <dcterms:created xsi:type="dcterms:W3CDTF">2011-03-01T20:36:37Z</dcterms:created>
  <dcterms:modified xsi:type="dcterms:W3CDTF">2015-06-10T15:56:30Z</dcterms:modified>
</cp:coreProperties>
</file>